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Серверы" sheetId="1" state="visible" r:id="rId1"/>
    <sheet name="Комплектующие" sheetId="2" state="visible" r:id="rId2"/>
    <sheet name="Сетевое оборудование" sheetId="3" state="visible" r:id="rId3"/>
    <sheet name="Маршрутизаторы" sheetId="4" state="visible" r:id="rId4"/>
    <sheet name="Межсетевые экраны (брандмауэр)" sheetId="5" state="visible" r:id="rId5"/>
    <sheet name="Точки доступа WiFi" sheetId="6" state="visible" r:id="rId6"/>
    <sheet name="IP-оборудование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 &quot;UZS&quot;"/>
  </numFmts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1" fillId="0" borderId="1" applyAlignment="1" pivotButton="0" quotePrefix="0" xfId="0">
      <alignment horizontal="center" vertical="center" wrapText="1"/>
    </xf>
    <xf numFmtId="164" fontId="1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tabColor rgb="003564EE"/>
    <outlinePr summaryBelow="1" summaryRight="1"/>
    <pageSetUpPr/>
  </sheetPr>
  <dimension ref="A1:H20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>
      <c r="A2" s="3" t="inlineStr">
        <is>
          <t>Файловый сервер</t>
        </is>
      </c>
      <c r="B2" s="3" t="inlineStr">
        <is>
          <t>Файловый сервер Dell EMC PowerEdge R760xs Rack 2U 16 SFF HDD/SSD + 8 SFF NVMe U.2  | Dell EMC PowerEdge R760xs Rack 2U 16 SFF HDD/SSD + 8 SFF NVMe U.2 (R760xs-xxx-IT4) | Intel Xeon Silver 4316 (2.3GHz/20-core/150W) | Оперативная память Samsung 64GB DDR4-3200MHz 3200AA | RAID Контроллер DELL PERC H755N 8Gb RAID NVMe | 1.6TB PCI-e NVMe / Mix Use / Express Flash / PCI-e 4.0 | SSD Накопитель DELL 1.92TB / SATA / RI / SSD | Блок питания DELL 800W G15 Hot-Plug Power Supply</t>
        </is>
      </c>
      <c r="C2" s="4" t="inlineStr">
        <is>
          <t>Гарантия 36 мес.</t>
        </is>
      </c>
      <c r="D2" s="4" t="n">
        <v>288550080</v>
      </c>
      <c r="E2" s="4" t="n">
        <v>257634000</v>
      </c>
      <c r="F2" s="4" t="inlineStr">
        <is>
          <t>Dell</t>
        </is>
      </c>
      <c r="G2" s="4">
        <f>HYPERLINK("https://itrix.uz/configuration/396", "🔗 Купить продукт")</f>
        <v/>
      </c>
      <c r="H2" s="4" t="inlineStr">
        <is>
          <t>1-396-0</t>
        </is>
      </c>
    </row>
    <row r="3">
      <c r="A3" s="3" t="inlineStr">
        <is>
          <t>Сервер для виртуализации</t>
        </is>
      </c>
      <c r="B3" s="3" t="inlineStr">
        <is>
          <t>Сервер для виртуализации HPE ProLiant DL360 Gen10 | HPE ProLiant DL360 Gen10 Rack 1U 8 SFF (P40400-B21) | Intel Xeon-Silver 4210R (2.4GHz/10-core/100W) | Оперативная память Samsung 64GB DDR4-2666MHz 2666V-LD2-12-DB1 LRDIMM | RAID Контроллер HPE P408e-p SR (Ext.) 4gb Cache 12G SAS PCIe (incl.96W Batt) | SSD Накопитель HPE 240GB / SATA / RI / SSD | 1.6TB PCI-e NVMe / Mix Use / Express Flash / PCI-e 4.0 | Блок питания HPE 800W Flex Slot Platinum Hot Plug</t>
        </is>
      </c>
      <c r="C3" s="4" t="inlineStr">
        <is>
          <t>Гарантия 36 мес.</t>
        </is>
      </c>
      <c r="D3" s="4" t="n">
        <v>114121280</v>
      </c>
      <c r="E3" s="4" t="n">
        <v>101894000</v>
      </c>
      <c r="F3" s="4" t="inlineStr">
        <is>
          <t>HPE</t>
        </is>
      </c>
      <c r="G3" s="4">
        <f>HYPERLINK("https://itrix.uz/configuration/397", "🔗 Купить продукт")</f>
        <v/>
      </c>
      <c r="H3" s="4" t="inlineStr">
        <is>
          <t>1-397-0</t>
        </is>
      </c>
    </row>
    <row r="4">
      <c r="A4" s="3" t="inlineStr">
        <is>
          <t>Сервер для виртуализации</t>
        </is>
      </c>
      <c r="B4" s="3" t="inlineStr">
        <is>
          <t>Сервер виртуализации HPE ProLiant DL380 Gen10 | HPE ProLiant DL380 Gen10 Rack 2U 8 SFF (P02466-B21) | Intel Xeon Gold 5317 (3.0GHz/12-core/150W) | Оперативная память HPE 64GB DDR4-3200MHz 3200AA-RB2 | RAID Контроллер HPE P408i-a SR (Int.) 2gb Cache 12G SAS PCIe (incl.96W Batt) | SSD Накопитель HPE 960GB / SATA / RI / SSD | Блок питания HPE 800W Flex Slot Platinum Hot Plug</t>
        </is>
      </c>
      <c r="C4" s="4" t="inlineStr">
        <is>
          <t>Гарантия 36 мес.</t>
        </is>
      </c>
      <c r="D4" s="4" t="n">
        <v>123177600</v>
      </c>
      <c r="E4" s="4" t="n">
        <v>109980000</v>
      </c>
      <c r="F4" s="4" t="inlineStr">
        <is>
          <t>HPE</t>
        </is>
      </c>
      <c r="G4" s="4">
        <f>HYPERLINK("https://itrix.uz/configuration/398", "🔗 Купить продукт")</f>
        <v/>
      </c>
      <c r="H4" s="4" t="inlineStr">
        <is>
          <t>1-398-0</t>
        </is>
      </c>
    </row>
    <row r="5">
      <c r="A5" s="3" t="inlineStr">
        <is>
          <t>Сервер для виртуализации</t>
        </is>
      </c>
      <c r="B5" s="3" t="inlineStr">
        <is>
          <t>Сервер для виртуализации Dell EMC PowerEdge R550 Rack 2U 8 LFF | Dell EMC PowerEdge R550 Rack 2U 8 LFF | Intel Xeon-Silver 4210R (2.4GHz/10-core/100W) | Блок питания DELL 800W G15 Hot-Plug Power Supply | RAID Контроллер DELL PERC H745 4Gb RAID 12Gb/s | Оперативная память Samsung 32GB DDR4-3200MHz UDIMM | SSD Накопитель DELL 1.92TB / SATA / RI / SSD</t>
        </is>
      </c>
      <c r="C5" s="4" t="inlineStr">
        <is>
          <t>Гарантия 36 мес.</t>
        </is>
      </c>
      <c r="D5" s="4" t="n">
        <v>177777600</v>
      </c>
      <c r="E5" s="4" t="n">
        <v>158730000</v>
      </c>
      <c r="F5" s="4" t="inlineStr">
        <is>
          <t>Dell</t>
        </is>
      </c>
      <c r="G5" s="4">
        <f>HYPERLINK("https://itrix.uz/configuration/399", "🔗 Купить продукт")</f>
        <v/>
      </c>
      <c r="H5" s="4" t="inlineStr">
        <is>
          <t>1-399-0</t>
        </is>
      </c>
    </row>
    <row r="6">
      <c r="A6" s="3" t="inlineStr">
        <is>
          <t>Сервер баз данных</t>
        </is>
      </c>
      <c r="B6" s="3" t="inlineStr">
        <is>
          <t>Сервер для базы данных Dell EMC PowerEdge R750 Rack 2U 16 SFF | Dell EMC PowerEdge R750 Rack 2U 16 SFF (210-AYCG-125-000) | Intel Xeon Gold 6342 (2.8GHz/24-core/230W) | Оперативная память Samsung 64GB DDR4-3200MHz 3200AA | 3.2TB PCI-e NVMe / Mix Use / Express Flash / PCI-e 4.0 | SSD Накопитель Intel 2TB DC P4510 Series / NVMe / RI / SAS / SSD | RAID Контроллер DELL PERC H755N 8Gb RAID NVMe | Блок питания DELL 800W G15 Hot-Plug Power Supply</t>
        </is>
      </c>
      <c r="C6" s="4" t="inlineStr">
        <is>
          <t>Гарантия 36 мес.</t>
        </is>
      </c>
      <c r="D6" s="4" t="n">
        <v>227500000</v>
      </c>
      <c r="E6" s="4" t="n">
        <v>203125000</v>
      </c>
      <c r="F6" s="4" t="inlineStr">
        <is>
          <t>Dell</t>
        </is>
      </c>
      <c r="G6" s="4">
        <f>HYPERLINK("https://itrix.uz/configuration/400", "🔗 Купить продукт")</f>
        <v/>
      </c>
      <c r="H6" s="4" t="inlineStr">
        <is>
          <t>1-400-0</t>
        </is>
      </c>
    </row>
    <row r="7">
      <c r="A7" s="3" t="inlineStr">
        <is>
          <t>Cервер для 1С</t>
        </is>
      </c>
      <c r="B7" s="3" t="inlineStr">
        <is>
          <t>Сервер для 1С HPE DL380 GEN10 PLUS 8SFF | Intel Xeon Silver 4314 (2.4GHz/16-core/135W) | Оперативная память HPE 32GB DDR4-3200Mhz 3200AA-RB2-12 | RAID Контроллер HPE P408i-a SR (Int.) 2gb Cache 12G SAS PCIe (incl.96W Batt) | HPE ProLiant DL380 Gen10 Plus Rack 2U 8 SFF (P55281-421) | Блок питания HPE 800W Flex Slot Platinum Hot Plug</t>
        </is>
      </c>
      <c r="C7" s="4" t="inlineStr">
        <is>
          <t>Гарантия 36 мес.</t>
        </is>
      </c>
      <c r="D7" s="4" t="n">
        <v>68635840</v>
      </c>
      <c r="E7" s="4" t="n">
        <v>61282000</v>
      </c>
      <c r="F7" s="4" t="inlineStr">
        <is>
          <t>HPE</t>
        </is>
      </c>
      <c r="G7" s="4">
        <f>HYPERLINK("https://itrix.uz/configuration/370", "🔗 Купить продукт")</f>
        <v/>
      </c>
      <c r="H7" s="4" t="inlineStr">
        <is>
          <t>1-370-0</t>
        </is>
      </c>
    </row>
    <row r="8">
      <c r="A8" s="3" t="inlineStr">
        <is>
          <t>Сервер баз данных</t>
        </is>
      </c>
      <c r="B8" s="3" t="inlineStr">
        <is>
          <t>Сервер баз данных HPE ProLiant DL380 Gen10 | HPE ProLiant DL380 Gen10 Rack 2U 8 SFF (P02466-B21) | Intel Xeon Gold 6338 (2GHz/32-core/205W) | Оперативная память HPE 64GB DDR4-3200MHz 3200AA-RB2 | SSD Накопитель Intel 480GB S4510 / RI / SATA / SSD | 1.6TB PCI-e NVMe / Mix Use / Express Flash / PCI-e 4.0 | RAID Контроллер HPE P816i-a SR (Int.) 4gb Cache 12G SAS PCIe (incl.96W Batt) | Блок питания HPE G10 Plus 1600W Flex Slot Platinum Hot Plug Low Halogen Power Supply</t>
        </is>
      </c>
      <c r="C8" s="4" t="inlineStr">
        <is>
          <t>Гарантия 36 мес.</t>
        </is>
      </c>
      <c r="D8" s="4" t="n">
        <v>204888320</v>
      </c>
      <c r="E8" s="4" t="n">
        <v>182936000</v>
      </c>
      <c r="F8" s="4" t="inlineStr">
        <is>
          <t>HPE</t>
        </is>
      </c>
      <c r="G8" s="4">
        <f>HYPERLINK("https://itrix.uz/configuration/401", "🔗 Купить продукт")</f>
        <v/>
      </c>
      <c r="H8" s="4" t="inlineStr">
        <is>
          <t>1-401-0</t>
        </is>
      </c>
    </row>
    <row r="9">
      <c r="A9" s="3" t="inlineStr">
        <is>
          <t>Cервер для 1С</t>
        </is>
      </c>
      <c r="B9" s="3" t="inlineStr">
        <is>
          <t>Сервер для 1С DELL R550 8SFF Rack 2U | Intel Xeon Gold 6326 (2.9GHz/16-core/185W) | Оперативная память Samsung / SK hynix 16GB DDR4-2933MHz | Блок питания DELL 800W G15 Hot-Plug Power Supply | Dell EMC PowerEdge R550 Rack 2U 8 LFF | RAID Контроллер DELL PERC H745 4Gb RAID 12Gb/s</t>
        </is>
      </c>
      <c r="C9" s="4" t="inlineStr">
        <is>
          <t>Гарантия 36 мес.</t>
        </is>
      </c>
      <c r="D9" s="4" t="n">
        <v>67791360</v>
      </c>
      <c r="E9" s="4" t="n">
        <v>60528000</v>
      </c>
      <c r="F9" s="4" t="inlineStr">
        <is>
          <t>Dell</t>
        </is>
      </c>
      <c r="G9" s="4">
        <f>HYPERLINK("https://itrix.uz/configuration/386", "🔗 Купить продукт")</f>
        <v/>
      </c>
      <c r="H9" s="4" t="inlineStr">
        <is>
          <t>1-386-0</t>
        </is>
      </c>
    </row>
    <row r="10">
      <c r="A10" s="3" t="inlineStr">
        <is>
          <t>Cервер для 1С</t>
        </is>
      </c>
      <c r="B10" s="3" t="inlineStr">
        <is>
          <t>Сервер для 1С HPE DL360 Gen10 Plus 8SFF Rack 1U | HPE ProLiant DL360 Gen10 Plus Rack 1U 8 SFF (P55274-421) | Intel Xeon Silver 4316 (2.3GHz/20-core/150W) | Оперативная память HPE 32GB DDR4-2666Mhz  | RAID Контроллер HPE P408i-a SR (Int.) 2gb Cache 12G SAS PCIe (incl.96W Batt) | Блок питания HPE 800W Flex Slot Platinum Hot Plug</t>
        </is>
      </c>
      <c r="C10" s="4" t="inlineStr">
        <is>
          <t>Гарантия 36 мес.</t>
        </is>
      </c>
      <c r="D10" s="4" t="n">
        <v>85525440</v>
      </c>
      <c r="E10" s="4" t="n">
        <v>76362000</v>
      </c>
      <c r="F10" s="4" t="inlineStr">
        <is>
          <t>HPE</t>
        </is>
      </c>
      <c r="G10" s="4">
        <f>HYPERLINK("https://itrix.uz/configuration/385", "🔗 Купить продукт")</f>
        <v/>
      </c>
      <c r="H10" s="4" t="inlineStr">
        <is>
          <t>1-385-0</t>
        </is>
      </c>
    </row>
    <row r="11">
      <c r="A11" s="3" t="inlineStr">
        <is>
          <t>Cервер для 1С</t>
        </is>
      </c>
      <c r="B11" s="3" t="inlineStr">
        <is>
          <t>Сервер для 1С Dell EMC PowerEdge R550 Rack 2U 8 LFF | Dell EMC PowerEdge R550 Rack 2U 8 LFF | Intel Xeon-Silver 4214 (2.2GHz/12-core/85W) | Оперативная память Samsung 32GB DDR4-2133MHz  2133P-RA0-10-DC0 | SSD Накопитель DELL 960GB / SAS / RI / SSD | Блок питания DELL 800W G15 Hot-Plug Power Supply</t>
        </is>
      </c>
      <c r="C11" s="4" t="inlineStr">
        <is>
          <t>Гарантия 36 мес.</t>
        </is>
      </c>
      <c r="D11" s="4" t="n">
        <v>51192960</v>
      </c>
      <c r="E11" s="4" t="n">
        <v>45708000</v>
      </c>
      <c r="F11" s="4" t="inlineStr">
        <is>
          <t>Dell</t>
        </is>
      </c>
      <c r="G11" s="4">
        <f>HYPERLINK("https://itrix.uz/configuration/388", "🔗 Купить продукт")</f>
        <v/>
      </c>
      <c r="H11" s="4" t="inlineStr">
        <is>
          <t>1-388-0</t>
        </is>
      </c>
    </row>
    <row r="12">
      <c r="A12" s="3" t="inlineStr">
        <is>
          <t>Сервер для офиса</t>
        </is>
      </c>
      <c r="B12" s="3" t="inlineStr">
        <is>
          <t>Сервер для офиса HPE ProLiant DL380 Gen10 Rack 2U 8 SFF | HPE ProLiant DL380 Gen10 Rack 2U 8 SFF (P02466-B21) | Intel Xeon-Gold 6250 (3.9GHz/8-core/185W) | Оперативная память HPE 32GB DDR4-2933MHz 2933Y-RB2-12 | SSD Накопитель HPE 1.92TB / SATA / RI / SSD | Блок питания HPE 800W Flex Slot Platinum Hot Plug | RAID Контроллер HPE P408e-p SR (Ext.) 4gb Cache 12G SAS PCIe (incl.96W Batt)</t>
        </is>
      </c>
      <c r="C12" s="4" t="inlineStr">
        <is>
          <t>Гарантия 36 мес.</t>
        </is>
      </c>
      <c r="D12" s="4" t="n">
        <v>172084640</v>
      </c>
      <c r="E12" s="4" t="n">
        <v>153647000</v>
      </c>
      <c r="F12" s="4" t="inlineStr">
        <is>
          <t>HPE</t>
        </is>
      </c>
      <c r="G12" s="4">
        <f>HYPERLINK("https://itrix.uz/configuration/389", "🔗 Купить продукт")</f>
        <v/>
      </c>
      <c r="H12" s="4" t="inlineStr">
        <is>
          <t>1-389-0</t>
        </is>
      </c>
    </row>
    <row r="13">
      <c r="A13" s="3" t="inlineStr">
        <is>
          <t>Сервер для видеонаблюдения</t>
        </is>
      </c>
      <c r="B13" s="3" t="inlineStr">
        <is>
          <t>Сервер для видеонаблюдения HPE ProLiant DL380 Gen10 | HPE ProLiant DL380 Gen10 Rack 2U 8 SFF (P02466-B21) | Intel Xeon-Silver 4210R (2.4GHz/10-core/100W) | Оперативная память HPE 64GB DDR4-3200MHz 3200AA-RB2 | SSD Накопитель Intel 480GB S4510 / RI / SATA / SSD | Жесткий диск HPE 16TB / SAS / 7200 rpm / LFF / 3.5" HDD | Дисковая корзина HPE ML110/ML350 Gen10 4LFF Drive Backplane Cage Kit | RAID Контроллер HPE P816i-a SR (Int.) 4gb Cache 12G SAS PCIe (incl.96W Batt) | Блок питания HPE G10 Plus 1600W Flex Slot Platinum Hot Plug Low Halogen Power Supply</t>
        </is>
      </c>
      <c r="C13" s="4" t="inlineStr">
        <is>
          <t>Гарантия 36 мес.</t>
        </is>
      </c>
      <c r="D13" s="4" t="n">
        <v>108821440</v>
      </c>
      <c r="E13" s="4" t="n">
        <v>97162000</v>
      </c>
      <c r="F13" s="4" t="inlineStr">
        <is>
          <t>HPE</t>
        </is>
      </c>
      <c r="G13" s="4">
        <f>HYPERLINK("https://itrix.uz/configuration/402", "🔗 Купить продукт")</f>
        <v/>
      </c>
      <c r="H13" s="4" t="inlineStr">
        <is>
          <t>1-402-0</t>
        </is>
      </c>
    </row>
    <row r="14">
      <c r="A14" s="3" t="inlineStr">
        <is>
          <t>Сервер для офиса</t>
        </is>
      </c>
      <c r="B14" s="3" t="inlineStr">
        <is>
          <t>Сервер для офиса HPE ProLiant DL380 Gen10 Plus Rack 2U 8 SFF | HPE ProLiant DL380 Gen10 Plus Rack 2U 8 SFF (P55281-421) | Intel Xeon Gold 6338 (2GHz/32-core/205W) | Оперативная память HPE 64GB DDR4-3200MHz 3200AA-RB2 | RAID Контроллер HPE P408e-p SR (Ext.) 4gb Cache 12G SAS PCIe (incl.96W Batt) | SSD Накопитель HPE 3.84TB / NVMe / RI / SAS / SSD | Блок питания HPE 800W Flex Slot Platinum Hot Plug</t>
        </is>
      </c>
      <c r="C14" s="4" t="inlineStr">
        <is>
          <t>Гарантия 36 мес.</t>
        </is>
      </c>
      <c r="D14" s="4" t="n">
        <v>333831680</v>
      </c>
      <c r="E14" s="4" t="n">
        <v>298064000</v>
      </c>
      <c r="F14" s="4" t="inlineStr">
        <is>
          <t>HPE</t>
        </is>
      </c>
      <c r="G14" s="4">
        <f>HYPERLINK("https://itrix.uz/configuration/390", "🔗 Купить продукт")</f>
        <v/>
      </c>
      <c r="H14" s="4" t="inlineStr">
        <is>
          <t>1-390-0</t>
        </is>
      </c>
    </row>
    <row r="15">
      <c r="A15" s="3" t="inlineStr">
        <is>
          <t>Сервер для офиса</t>
        </is>
      </c>
      <c r="B15" s="3" t="inlineStr">
        <is>
          <t>Сервер для офиса HPE ProLiant DL380 Gen10 Plus Rack 2U 8 SFF | Intel Xeon Gold 6338 (2GHz/32-core/205W) | Оперативная память HPE 64GB DDR4-3200MHz 3200AA-RB2 | RAID Контроллер HPE P408e-p SR (Ext.) 4gb Cache 12G SAS PCIe (incl.96W Batt) | SSD Накопитель DELL 3.84TB / SAS / RI / SSD | Блок питания HPE 800W Flex Slot Platinum Hot Plug | HPE ProLiant DL380 Gen10 Plus Rack 2U 8 SFF (P55281-421)</t>
        </is>
      </c>
      <c r="C15" s="4" t="inlineStr">
        <is>
          <t>Гарантия 36 мес.</t>
        </is>
      </c>
      <c r="D15" s="4" t="n">
        <v>301508480</v>
      </c>
      <c r="E15" s="4" t="n">
        <v>269204000</v>
      </c>
      <c r="F15" s="4" t="inlineStr">
        <is>
          <t>HPE</t>
        </is>
      </c>
      <c r="G15" s="4">
        <f>HYPERLINK("https://itrix.uz/configuration/391", "🔗 Купить продукт")</f>
        <v/>
      </c>
      <c r="H15" s="4" t="inlineStr">
        <is>
          <t>1-391-0</t>
        </is>
      </c>
    </row>
    <row r="16">
      <c r="A16" s="3" t="inlineStr">
        <is>
          <t>Сервер для офиса</t>
        </is>
      </c>
      <c r="B16" s="3" t="inlineStr">
        <is>
          <t>Сервер для офиса HPE ProLiant DL380 Gen10 Plus Rack 2U 8 SFF | Intel Xeon Silver 4310 (2.1GHz/12-Core/120W) | Оперативная память Samsung 64GB DDR4-3200MHz 3200AA | RAID Контроллер HPE P408e-p SR (Ext.) 4gb Cache 12G SAS PCIe (incl.96W Batt) | SSD Накопитель HPE 1.92TB / SATA / RI / SSD | Жесткий диск HPE 2.4TB / SAS / 10000 rpm / SFF / 2.5" HDD | Блок питания HPE 800W Flex Slot Platinum Hot Plug | HPE ProLiant DL380 Gen10 Plus Rack 2U 8 SFF (P55281-421)</t>
        </is>
      </c>
      <c r="C16" s="4" t="inlineStr">
        <is>
          <t>Гарантия 36 мес.</t>
        </is>
      </c>
      <c r="D16" s="4" t="n">
        <v>118343680</v>
      </c>
      <c r="E16" s="4" t="n">
        <v>105664000</v>
      </c>
      <c r="F16" s="4" t="inlineStr">
        <is>
          <t>HPE</t>
        </is>
      </c>
      <c r="G16" s="4">
        <f>HYPERLINK("https://itrix.uz/configuration/392", "🔗 Купить продукт")</f>
        <v/>
      </c>
      <c r="H16" s="4" t="inlineStr">
        <is>
          <t>1-392-0</t>
        </is>
      </c>
    </row>
    <row r="17">
      <c r="A17" s="3" t="inlineStr">
        <is>
          <t>Сервер для офиса</t>
        </is>
      </c>
      <c r="B17" s="3" t="inlineStr">
        <is>
          <t>Сервер для офиса HPE ProLiant DL360 Gen9 Rack 1U 8 SFF | HPE ProLiant DL360 Gen9 Rack 1U 8 SFF (848736-B21) | Intel Xeon Silver 4310 (2.1GHz/12-Core/120W) | Оперативная память HPE 32GB DDR4-3200Mhz 3200AA-RB2-12 | SSD Накопитель HPE 240GB / SATA / RI / SSD | RAID Контроллер HPE P408e-p SR (Ext.) 4gb Cache 12G SAS PCIe (incl.96W Batt) | Блок питания HPE 800W Flex Slot Platinum Hot Plug</t>
        </is>
      </c>
      <c r="C17" s="4" t="inlineStr">
        <is>
          <t>Гарантия 36 мес.</t>
        </is>
      </c>
      <c r="D17" s="4" t="n">
        <v>43738240</v>
      </c>
      <c r="E17" s="4" t="n">
        <v>39052000</v>
      </c>
      <c r="F17" s="4" t="inlineStr">
        <is>
          <t>HPE</t>
        </is>
      </c>
      <c r="G17" s="4">
        <f>HYPERLINK("https://itrix.uz/configuration/393", "🔗 Купить продукт")</f>
        <v/>
      </c>
      <c r="H17" s="4" t="inlineStr">
        <is>
          <t>1-393-0</t>
        </is>
      </c>
    </row>
    <row r="18">
      <c r="A18" s="3" t="inlineStr">
        <is>
          <t>Файловый сервер</t>
        </is>
      </c>
      <c r="B18" s="3" t="inlineStr">
        <is>
          <t>Файловый сервер HPE ProLiant DL360 Gen9 Rack 1U 8 SFF | HPE ProLiant DL360 Gen9 Rack 1U 8 SFF (848736-B21) | Intel Xeon Silver 4310 (2.1GHz/12-Core/120W) | Оперативная память Samsung 64GB DDR4-2666MHz 2666V-LD2-12-DB1 LRDIMM | RAID Контроллер HPE P408e-p SR (Ext.) 4gb Cache 12G SAS PCIe (incl.96W Batt) | SSD Накопитель HPE 960GB / SATA / RI / SSD | Блок питания HPE 800W Flex Slot Platinum Hot Plug</t>
        </is>
      </c>
      <c r="C18" s="4" t="inlineStr">
        <is>
          <t>Гарантия 36 мес.</t>
        </is>
      </c>
      <c r="D18" s="4" t="n">
        <v>78128960</v>
      </c>
      <c r="E18" s="4" t="n">
        <v>69758000</v>
      </c>
      <c r="F18" s="4" t="inlineStr">
        <is>
          <t>HPE</t>
        </is>
      </c>
      <c r="G18" s="4">
        <f>HYPERLINK("https://itrix.uz/configuration/394", "🔗 Купить продукт")</f>
        <v/>
      </c>
      <c r="H18" s="4" t="inlineStr">
        <is>
          <t>1-394-0</t>
        </is>
      </c>
    </row>
    <row r="19">
      <c r="A19" s="3" t="inlineStr">
        <is>
          <t>Сервер для видеонаблюдения</t>
        </is>
      </c>
      <c r="B19" s="3" t="inlineStr">
        <is>
          <t>Сервер для видеонаблюдения Dell EMC PowerEdge R750XS Rack 2U 8 LFF | Dell EMC PowerEdge R750XS Rack 2U 8 LFF (210-AZYQ-056-000) | Intel Xeon Silver 4310 (2.1GHz/12-Core/120W) | Оперативная память Samsung 64GB DDR4-3200MHz 3200AA | SSD Накопитель Intel 480GB S4510 / RI / SATA / SSD | Жёсткий диск DELL 12TB / SAS / 7200 rpm / LFF / 3.5" HDD | RAID Контроллер DELL PERC H755 8Gb RAID  | Блок питания DELL 800W G15 Hot-Plug Power Supply</t>
        </is>
      </c>
      <c r="C19" s="4" t="inlineStr">
        <is>
          <t>Гарантия 36 мес.</t>
        </is>
      </c>
      <c r="D19" s="4" t="n">
        <v>99852480</v>
      </c>
      <c r="E19" s="4" t="n">
        <v>89154000</v>
      </c>
      <c r="F19" s="4" t="inlineStr">
        <is>
          <t>Dell</t>
        </is>
      </c>
      <c r="G19" s="4">
        <f>HYPERLINK("https://itrix.uz/configuration/403", "🔗 Купить продукт")</f>
        <v/>
      </c>
      <c r="H19" s="4" t="inlineStr">
        <is>
          <t>1-403-0</t>
        </is>
      </c>
    </row>
    <row r="20">
      <c r="A20" s="3" t="inlineStr">
        <is>
          <t>Файловый сервер</t>
        </is>
      </c>
      <c r="B20" s="3" t="inlineStr">
        <is>
          <t>Файловый сервер HPE ProLiant DL380 Gen10 Rack 2U 8 SFF | HPE ProLiant DL380 Gen10 Rack 2U 8 SFF (P02466-B21) | Intel Xeon-Silver 4214 (2.2GHz/12-core/85W) | Оперативная память HPE 64GB DDR4-3200MHz 3200AA-RB2 | RAID Контроллер HPE P408e-p SR (Ext.) 4gb Cache 12G SAS PCIe (incl.96W Batt) | SSD Накопитель HPE 960GB / SATA / RI / SSD | Блок питания HPE 800W Flex Slot Platinum Hot Plug</t>
        </is>
      </c>
      <c r="C20" s="4" t="inlineStr">
        <is>
          <t>Гарантия 36 мес.</t>
        </is>
      </c>
      <c r="D20" s="4" t="n">
        <v>104948480</v>
      </c>
      <c r="E20" s="4" t="n">
        <v>93704000</v>
      </c>
      <c r="F20" s="4" t="inlineStr">
        <is>
          <t>HPE</t>
        </is>
      </c>
      <c r="G20" s="4">
        <f>HYPERLINK("https://itrix.uz/configuration/395", "🔗 Купить продукт")</f>
        <v/>
      </c>
      <c r="H20" s="4" t="inlineStr">
        <is>
          <t>1-395-0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tabColor rgb="00A00173"/>
    <outlinePr summaryBelow="1" summaryRight="1"/>
    <pageSetUpPr/>
  </sheetPr>
  <dimension ref="A1:H150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Аксессуары</t>
        </is>
      </c>
      <c r="B2" s="3" t="inlineStr">
        <is>
          <t>Вентилятор DELL R750 R7525 Silver High Performance Fan</t>
        </is>
      </c>
      <c r="C2" s="4" t="inlineStr"/>
      <c r="D2" s="4" t="n">
        <v>698880</v>
      </c>
      <c r="E2" s="4" t="n">
        <v>624000</v>
      </c>
      <c r="F2" s="4" t="inlineStr">
        <is>
          <t>Dell</t>
        </is>
      </c>
      <c r="G2" s="4">
        <f>HYPERLINK("https://itrix.uz/product/125", "🔗 Купить продукт")</f>
        <v/>
      </c>
      <c r="H2" s="4" t="inlineStr">
        <is>
          <t>2-125-131</t>
        </is>
      </c>
    </row>
    <row r="3" ht="30" customHeight="1">
      <c r="A3" s="3" t="inlineStr">
        <is>
          <t>RAID-контроллер</t>
        </is>
      </c>
      <c r="B3" s="3" t="inlineStr">
        <is>
          <t>RAID контроллер HPE Smart Array S100i SR Gen10 SW RAID</t>
        </is>
      </c>
      <c r="C3" s="4" t="inlineStr"/>
      <c r="D3" s="4" t="n">
        <v>1936480</v>
      </c>
      <c r="E3" s="4" t="n">
        <v>1729000</v>
      </c>
      <c r="F3" s="4" t="inlineStr">
        <is>
          <t>HPE</t>
        </is>
      </c>
      <c r="G3" s="4">
        <f>HYPERLINK("https://itrix.uz/product/144", "🔗 Купить продукт")</f>
        <v/>
      </c>
      <c r="H3" s="4" t="inlineStr">
        <is>
          <t>2-144-150</t>
        </is>
      </c>
    </row>
    <row r="4" ht="30" customHeight="1">
      <c r="A4" s="3" t="inlineStr">
        <is>
          <t>Процессоры</t>
        </is>
      </c>
      <c r="B4" s="3" t="inlineStr">
        <is>
          <t>Intel Xeon-Silver 4210R (2.4GHz/10-core/100W)</t>
        </is>
      </c>
      <c r="C4" s="4" t="inlineStr"/>
      <c r="D4" s="4" t="n">
        <v>6304480</v>
      </c>
      <c r="E4" s="4" t="n">
        <v>5629000</v>
      </c>
      <c r="F4" s="4" t="inlineStr">
        <is>
          <t>Intel</t>
        </is>
      </c>
      <c r="G4" s="4">
        <f>HYPERLINK("https://itrix.uz/product/336", "🔗 Купить продукт")</f>
        <v/>
      </c>
      <c r="H4" s="4" t="inlineStr">
        <is>
          <t>2-336-338</t>
        </is>
      </c>
    </row>
    <row r="5" ht="30" customHeight="1">
      <c r="A5" s="3" t="inlineStr">
        <is>
          <t>RAID-контроллер</t>
        </is>
      </c>
      <c r="B5" s="3" t="inlineStr">
        <is>
          <t>RAID Контроллер HPE Smart Array E208e-p SR Gen10 12G SAS 8Ext SA PCIe</t>
        </is>
      </c>
      <c r="C5" s="4" t="inlineStr"/>
      <c r="D5" s="4" t="n">
        <v>3581760</v>
      </c>
      <c r="E5" s="4" t="n">
        <v>3198000</v>
      </c>
      <c r="F5" s="4" t="inlineStr">
        <is>
          <t>HPE</t>
        </is>
      </c>
      <c r="G5" s="4">
        <f>HYPERLINK("https://itrix.uz/product/145", "🔗 Купить продукт")</f>
        <v/>
      </c>
      <c r="H5" s="4" t="inlineStr">
        <is>
          <t>2-145-151</t>
        </is>
      </c>
    </row>
    <row r="6" ht="30" customHeight="1">
      <c r="A6" s="3" t="inlineStr">
        <is>
          <t>Жёсткие диски HDD</t>
        </is>
      </c>
      <c r="B6" s="3" t="inlineStr">
        <is>
          <t>Жёсткий диск DELL 600GB / SAS / 15000 rpm / SFF / 2.5" HDD</t>
        </is>
      </c>
      <c r="C6" s="4" t="inlineStr"/>
      <c r="D6" s="4" t="n">
        <v>2242240</v>
      </c>
      <c r="E6" s="4" t="n">
        <v>2002000</v>
      </c>
      <c r="F6" s="4" t="inlineStr">
        <is>
          <t>Dell</t>
        </is>
      </c>
      <c r="G6" s="4">
        <f>HYPERLINK("https://itrix.uz/product/40", "🔗 Купить продукт")</f>
        <v/>
      </c>
      <c r="H6" s="4" t="inlineStr">
        <is>
          <t>2-40-46</t>
        </is>
      </c>
    </row>
    <row r="7" ht="30" customHeight="1">
      <c r="A7" s="3" t="inlineStr">
        <is>
          <t>Блоки питания</t>
        </is>
      </c>
      <c r="B7" s="3" t="inlineStr">
        <is>
          <t>Блок питания HPE 800W Flex Slot Platinum Hot Plug</t>
        </is>
      </c>
      <c r="C7" s="4" t="inlineStr"/>
      <c r="D7" s="4" t="n">
        <v>2810080</v>
      </c>
      <c r="E7" s="4" t="n">
        <v>2509000</v>
      </c>
      <c r="F7" s="4" t="inlineStr">
        <is>
          <t>HPE</t>
        </is>
      </c>
      <c r="G7" s="4">
        <f>HYPERLINK("https://itrix.uz/product/156", "🔗 Купить продукт")</f>
        <v/>
      </c>
      <c r="H7" s="4" t="inlineStr">
        <is>
          <t>2-156-162</t>
        </is>
      </c>
    </row>
    <row r="8" ht="30" customHeight="1">
      <c r="A8" s="3" t="inlineStr">
        <is>
          <t>Блоки питания</t>
        </is>
      </c>
      <c r="B8" s="3" t="inlineStr">
        <is>
          <t>Блок питания Dell Power Supply (1 PSU) 1400W Hot Plug, G15 G16</t>
        </is>
      </c>
      <c r="C8" s="4" t="inlineStr"/>
      <c r="D8" s="4" t="n">
        <v>4469920</v>
      </c>
      <c r="E8" s="4" t="n">
        <v>3991000</v>
      </c>
      <c r="F8" s="4" t="inlineStr">
        <is>
          <t>Dell</t>
        </is>
      </c>
      <c r="G8" s="4">
        <f>HYPERLINK("https://itrix.uz/product/159", "🔗 Купить продукт")</f>
        <v/>
      </c>
      <c r="H8" s="4" t="inlineStr">
        <is>
          <t>2-159-367</t>
        </is>
      </c>
    </row>
    <row r="9" ht="30" customHeight="1">
      <c r="A9" s="3" t="inlineStr">
        <is>
          <t>RAID-контроллер</t>
        </is>
      </c>
      <c r="B9" s="3" t="inlineStr">
        <is>
          <t>RAID Контроллер HPE P408i-a SR (Int.) 2gb Cache 12G SAS PCIe (incl.96W Batt)</t>
        </is>
      </c>
      <c r="C9" s="4" t="inlineStr"/>
      <c r="D9" s="4" t="n">
        <v>7003360</v>
      </c>
      <c r="E9" s="4" t="n">
        <v>6253000</v>
      </c>
      <c r="F9" s="4" t="inlineStr">
        <is>
          <t>HPE</t>
        </is>
      </c>
      <c r="G9" s="4">
        <f>HYPERLINK("https://itrix.uz/product/147", "🔗 Купить продукт")</f>
        <v/>
      </c>
      <c r="H9" s="4" t="inlineStr">
        <is>
          <t>2-147-153</t>
        </is>
      </c>
    </row>
    <row r="10" ht="30" customHeight="1">
      <c r="A10" s="3" t="inlineStr">
        <is>
          <t>Жёсткие диски HDD</t>
        </is>
      </c>
      <c r="B10" s="3" t="inlineStr">
        <is>
          <t>Жесткий диск HPE 2.4TB / SAS / 10000 rpm / SFF / 2.5" HDD</t>
        </is>
      </c>
      <c r="C10" s="4" t="inlineStr"/>
      <c r="D10" s="4" t="n">
        <v>4207840</v>
      </c>
      <c r="E10" s="4" t="n">
        <v>3757000</v>
      </c>
      <c r="F10" s="4" t="inlineStr">
        <is>
          <t>HPE</t>
        </is>
      </c>
      <c r="G10" s="4">
        <f>HYPERLINK("https://itrix.uz/product/42", "🔗 Купить продукт")</f>
        <v/>
      </c>
      <c r="H10" s="4" t="inlineStr">
        <is>
          <t>2-42-48</t>
        </is>
      </c>
    </row>
    <row r="11" ht="30" customHeight="1">
      <c r="A11" s="3" t="inlineStr">
        <is>
          <t>RAID-контроллер</t>
        </is>
      </c>
      <c r="B11" s="3" t="inlineStr">
        <is>
          <t>RAID Контроллер DELL PERC H755N 8Gb RAID NVMe</t>
        </is>
      </c>
      <c r="C11" s="4" t="inlineStr"/>
      <c r="D11" s="4" t="n">
        <v>7906080</v>
      </c>
      <c r="E11" s="4" t="n">
        <v>7059000</v>
      </c>
      <c r="F11" s="4" t="inlineStr">
        <is>
          <t>Dell</t>
        </is>
      </c>
      <c r="G11" s="4">
        <f>HYPERLINK("https://itrix.uz/product/153", "🔗 Купить продукт")</f>
        <v/>
      </c>
      <c r="H11" s="4" t="inlineStr">
        <is>
          <t>2-153-159</t>
        </is>
      </c>
    </row>
    <row r="12" ht="30" customHeight="1">
      <c r="A12" s="3" t="inlineStr">
        <is>
          <t>Жёсткие диски HDD</t>
        </is>
      </c>
      <c r="B12" s="3" t="inlineStr">
        <is>
          <t>Жесткий диск HPE 16TB / SAS / 7200 rpm / LFF / 3.5" HDD</t>
        </is>
      </c>
      <c r="C12" s="4" t="inlineStr"/>
      <c r="D12" s="4" t="n">
        <v>9114560</v>
      </c>
      <c r="E12" s="4" t="n">
        <v>8138000</v>
      </c>
      <c r="F12" s="4" t="inlineStr">
        <is>
          <t>HPE</t>
        </is>
      </c>
      <c r="G12" s="4">
        <f>HYPERLINK("https://itrix.uz/product/45", "🔗 Купить продукт")</f>
        <v/>
      </c>
      <c r="H12" s="4" t="inlineStr">
        <is>
          <t>2-45-51</t>
        </is>
      </c>
    </row>
    <row r="13" ht="30" customHeight="1">
      <c r="A13" s="3" t="inlineStr">
        <is>
          <t>Аксессуары</t>
        </is>
      </c>
      <c r="B13" s="3" t="inlineStr">
        <is>
          <t>HBA-адаптер HPE SN1100Q 16Gb 2-port FC HBA</t>
        </is>
      </c>
      <c r="C13" s="4" t="inlineStr"/>
      <c r="D13" s="4" t="n">
        <v>9813440</v>
      </c>
      <c r="E13" s="4" t="n">
        <v>8762000</v>
      </c>
      <c r="F13" s="4" t="inlineStr">
        <is>
          <t>HPE</t>
        </is>
      </c>
      <c r="G13" s="4">
        <f>HYPERLINK("https://itrix.uz/product/103", "🔗 Купить продукт")</f>
        <v/>
      </c>
      <c r="H13" s="4" t="inlineStr">
        <is>
          <t>2-103-366</t>
        </is>
      </c>
    </row>
    <row r="14" ht="30" customHeight="1">
      <c r="A14" s="3" t="inlineStr">
        <is>
          <t>Оперативная память (RAM)</t>
        </is>
      </c>
      <c r="B14" s="3" t="inlineStr">
        <is>
          <t>Оперативная память HPE 16GB DDR4-3200MHz 3200AA UDIMM</t>
        </is>
      </c>
      <c r="C14" s="4" t="inlineStr"/>
      <c r="D14" s="4" t="n">
        <v>829920</v>
      </c>
      <c r="E14" s="4" t="n">
        <v>741000</v>
      </c>
      <c r="F14" s="4" t="inlineStr">
        <is>
          <t>HPE</t>
        </is>
      </c>
      <c r="G14" s="4">
        <f>HYPERLINK("https://itrix.uz/product/95", "🔗 Купить продукт")</f>
        <v/>
      </c>
      <c r="H14" s="4" t="inlineStr">
        <is>
          <t>2-95-101</t>
        </is>
      </c>
    </row>
    <row r="15" ht="30" customHeight="1">
      <c r="A15" s="3" t="inlineStr">
        <is>
          <t>Жёсткие диски SSD</t>
        </is>
      </c>
      <c r="B15" s="3" t="inlineStr">
        <is>
          <t>SSD Накопитель SAMSUNG 960GB PM1643a / SAS / MU / SSD</t>
        </is>
      </c>
      <c r="C15" s="4" t="inlineStr"/>
      <c r="D15" s="4" t="n">
        <v>7454720</v>
      </c>
      <c r="E15" s="4" t="n">
        <v>6656000</v>
      </c>
      <c r="F15" s="4" t="inlineStr">
        <is>
          <t>Samsung</t>
        </is>
      </c>
      <c r="G15" s="4">
        <f>HYPERLINK("https://itrix.uz/product/70", "🔗 Купить продукт")</f>
        <v/>
      </c>
      <c r="H15" s="4" t="inlineStr">
        <is>
          <t>2-70-76</t>
        </is>
      </c>
    </row>
    <row r="16" ht="30" customHeight="1">
      <c r="A16" s="3" t="inlineStr">
        <is>
          <t>Аксессуары</t>
        </is>
      </c>
      <c r="B16" s="3" t="inlineStr">
        <is>
          <t xml:space="preserve">Сетевая карта HPE 530SFP+ 10Gb 2-port PCIe Adapter </t>
        </is>
      </c>
      <c r="C16" s="4" t="inlineStr"/>
      <c r="D16" s="4" t="n">
        <v>3989440</v>
      </c>
      <c r="E16" s="4" t="n">
        <v>3562000</v>
      </c>
      <c r="F16" s="4" t="inlineStr">
        <is>
          <t>HPE</t>
        </is>
      </c>
      <c r="G16" s="4">
        <f>HYPERLINK("https://itrix.uz/product/101", "🔗 Купить продукт")</f>
        <v/>
      </c>
      <c r="H16" s="4" t="inlineStr">
        <is>
          <t>2-101-107</t>
        </is>
      </c>
    </row>
    <row r="17" ht="30" customHeight="1">
      <c r="A17" s="3" t="inlineStr">
        <is>
          <t>Жёсткие диски SSD</t>
        </is>
      </c>
      <c r="B17" s="3" t="inlineStr">
        <is>
          <t>SSD Накопитель DELL 1.92TB / SAS / RI / SSD</t>
        </is>
      </c>
      <c r="C17" s="4" t="inlineStr"/>
      <c r="D17" s="4" t="n">
        <v>16816800</v>
      </c>
      <c r="E17" s="4" t="n">
        <v>15015000</v>
      </c>
      <c r="F17" s="4" t="inlineStr">
        <is>
          <t>Dell</t>
        </is>
      </c>
      <c r="G17" s="4">
        <f>HYPERLINK("https://itrix.uz/product/60", "🔗 Купить продукт")</f>
        <v/>
      </c>
      <c r="H17" s="4" t="inlineStr">
        <is>
          <t>2-60-66</t>
        </is>
      </c>
    </row>
    <row r="18" ht="30" customHeight="1">
      <c r="A18" s="3" t="inlineStr">
        <is>
          <t>Процессоры</t>
        </is>
      </c>
      <c r="B18" s="3" t="inlineStr">
        <is>
          <t>Intel Xeon-Gold 6248R (3.0GHz/24-core/205W)</t>
        </is>
      </c>
      <c r="C18" s="4" t="inlineStr"/>
      <c r="D18" s="4" t="n">
        <v>30139200</v>
      </c>
      <c r="E18" s="4" t="n">
        <v>26910000</v>
      </c>
      <c r="F18" s="4" t="inlineStr">
        <is>
          <t>Intel</t>
        </is>
      </c>
      <c r="G18" s="4">
        <f>HYPERLINK("https://itrix.uz/product/353", "🔗 Купить продукт")</f>
        <v/>
      </c>
      <c r="H18" s="4" t="inlineStr">
        <is>
          <t>2-353-355</t>
        </is>
      </c>
    </row>
    <row r="19" ht="30" customHeight="1">
      <c r="A19" s="3" t="inlineStr">
        <is>
          <t>Оперативная память (RAM)</t>
        </is>
      </c>
      <c r="B19" s="3" t="inlineStr">
        <is>
          <t>Оперативная память HPE 32GB DDR4-2933MHz 2933Y-RB2-12</t>
        </is>
      </c>
      <c r="C19" s="4" t="inlineStr"/>
      <c r="D19" s="4" t="n">
        <v>2591680</v>
      </c>
      <c r="E19" s="4" t="n">
        <v>2314000</v>
      </c>
      <c r="F19" s="4" t="inlineStr">
        <is>
          <t>HPE</t>
        </is>
      </c>
      <c r="G19" s="4">
        <f>HYPERLINK("https://itrix.uz/product/91", "🔗 Купить продукт")</f>
        <v/>
      </c>
      <c r="H19" s="4" t="inlineStr">
        <is>
          <t>2-91-97</t>
        </is>
      </c>
    </row>
    <row r="20" ht="30" customHeight="1">
      <c r="A20" s="3" t="inlineStr">
        <is>
          <t>Жёсткие диски HDD</t>
        </is>
      </c>
      <c r="B20" s="3" t="inlineStr">
        <is>
          <t>Жёсткий диск Seagate Exos X16 12TB / SATA / 7200 rpm / LFF / 3.5" HDD</t>
        </is>
      </c>
      <c r="C20" s="4" t="inlineStr"/>
      <c r="D20" s="4" t="n">
        <v>5401760</v>
      </c>
      <c r="E20" s="4" t="n">
        <v>4823000</v>
      </c>
      <c r="F20" s="4" t="inlineStr">
        <is>
          <t>Seagate</t>
        </is>
      </c>
      <c r="G20" s="4">
        <f>HYPERLINK("https://itrix.uz/product/43", "🔗 Купить продукт")</f>
        <v/>
      </c>
      <c r="H20" s="4" t="inlineStr">
        <is>
          <t>2-43-49</t>
        </is>
      </c>
    </row>
    <row r="21" ht="30" customHeight="1">
      <c r="A21" s="3" t="inlineStr">
        <is>
          <t>Жёсткие диски SSD</t>
        </is>
      </c>
      <c r="B21" s="3" t="inlineStr">
        <is>
          <t>SSD Накопитель HPE 1.6TB / SAS / MU / SSD</t>
        </is>
      </c>
      <c r="C21" s="4" t="inlineStr"/>
      <c r="D21" s="4" t="n">
        <v>7716800</v>
      </c>
      <c r="E21" s="4" t="n">
        <v>6890000</v>
      </c>
      <c r="F21" s="4" t="inlineStr">
        <is>
          <t>HPE</t>
        </is>
      </c>
      <c r="G21" s="4">
        <f>HYPERLINK("https://itrix.uz/product/62", "🔗 Купить продукт")</f>
        <v/>
      </c>
      <c r="H21" s="4" t="inlineStr">
        <is>
          <t>2-62-68</t>
        </is>
      </c>
    </row>
    <row r="22" ht="30" customHeight="1">
      <c r="A22" s="3" t="inlineStr">
        <is>
          <t>Жёсткие диски SSD</t>
        </is>
      </c>
      <c r="B22" s="3" t="inlineStr">
        <is>
          <t>SSD Накопитель Intel 960GB S4610 / MU / SATA / SSD</t>
        </is>
      </c>
      <c r="C22" s="4" t="inlineStr"/>
      <c r="D22" s="4" t="n">
        <v>6260800</v>
      </c>
      <c r="E22" s="4" t="n">
        <v>5590000</v>
      </c>
      <c r="F22" s="4" t="inlineStr">
        <is>
          <t>Intel</t>
        </is>
      </c>
      <c r="G22" s="4">
        <f>HYPERLINK("https://itrix.uz/product/69", "🔗 Купить продукт")</f>
        <v/>
      </c>
      <c r="H22" s="4" t="inlineStr">
        <is>
          <t>2-69-75</t>
        </is>
      </c>
    </row>
    <row r="23" ht="30" customHeight="1">
      <c r="A23" s="3" t="inlineStr">
        <is>
          <t>Оперативная память (RAM)</t>
        </is>
      </c>
      <c r="B23" s="3" t="inlineStr">
        <is>
          <t>Оперативная память HPE 64GB DDR4-2933MHz 2933Y</t>
        </is>
      </c>
      <c r="C23" s="4" t="inlineStr"/>
      <c r="D23" s="4" t="n">
        <v>5605600</v>
      </c>
      <c r="E23" s="4" t="n">
        <v>5005000</v>
      </c>
      <c r="F23" s="4" t="inlineStr">
        <is>
          <t>HPE</t>
        </is>
      </c>
      <c r="G23" s="4">
        <f>HYPERLINK("https://itrix.uz/product/92", "🔗 Купить продукт")</f>
        <v/>
      </c>
      <c r="H23" s="4" t="inlineStr">
        <is>
          <t>2-92-98</t>
        </is>
      </c>
    </row>
    <row r="24" ht="30" customHeight="1">
      <c r="A24" s="3" t="inlineStr">
        <is>
          <t>Жёсткие диски SSD</t>
        </is>
      </c>
      <c r="B24" s="3" t="inlineStr">
        <is>
          <t>SSD Накопитель DELL 1.6TB / SAS / MU / SSD</t>
        </is>
      </c>
      <c r="C24" s="4" t="inlineStr"/>
      <c r="D24" s="4" t="n">
        <v>10439520</v>
      </c>
      <c r="E24" s="4" t="n">
        <v>9321000</v>
      </c>
      <c r="F24" s="4" t="inlineStr">
        <is>
          <t>Dell</t>
        </is>
      </c>
      <c r="G24" s="4">
        <f>HYPERLINK("https://itrix.uz/product/61", "🔗 Купить продукт")</f>
        <v/>
      </c>
      <c r="H24" s="4" t="inlineStr">
        <is>
          <t>2-61-67</t>
        </is>
      </c>
    </row>
    <row r="25" ht="30" customHeight="1">
      <c r="A25" s="3" t="inlineStr">
        <is>
          <t>Жёсткие диски SSD</t>
        </is>
      </c>
      <c r="B25" s="3" t="inlineStr">
        <is>
          <t>SSD Накопитель Intel 2TB DC P4510 Series / NVMe / RI / SAS / SSD</t>
        </is>
      </c>
      <c r="C25" s="4" t="inlineStr"/>
      <c r="D25" s="4" t="n">
        <v>6304480</v>
      </c>
      <c r="E25" s="4" t="n">
        <v>5629000</v>
      </c>
      <c r="F25" s="4" t="inlineStr">
        <is>
          <t>Intel</t>
        </is>
      </c>
      <c r="G25" s="4">
        <f>HYPERLINK("https://itrix.uz/product/67", "🔗 Купить продукт")</f>
        <v/>
      </c>
      <c r="H25" s="4" t="inlineStr">
        <is>
          <t>2-67-73</t>
        </is>
      </c>
    </row>
    <row r="26" ht="30" customHeight="1">
      <c r="A26" s="3" t="inlineStr">
        <is>
          <t>Жёсткие диски SSD</t>
        </is>
      </c>
      <c r="B26" s="3" t="inlineStr">
        <is>
          <t>SSD Накопитель Intel 480GB S4510 / RI / SATA / SSD</t>
        </is>
      </c>
      <c r="C26" s="4" t="inlineStr"/>
      <c r="D26" s="4" t="n">
        <v>2096640</v>
      </c>
      <c r="E26" s="4" t="n">
        <v>1872000</v>
      </c>
      <c r="F26" s="4" t="inlineStr">
        <is>
          <t>Intel</t>
        </is>
      </c>
      <c r="G26" s="4">
        <f>HYPERLINK("https://itrix.uz/product/59", "🔗 Купить продукт")</f>
        <v/>
      </c>
      <c r="H26" s="4" t="inlineStr">
        <is>
          <t>2-59-65</t>
        </is>
      </c>
    </row>
    <row r="27" ht="30" customHeight="1">
      <c r="A27" s="3" t="inlineStr">
        <is>
          <t>Жёсткие диски HDD</t>
        </is>
      </c>
      <c r="B27" s="3" t="inlineStr">
        <is>
          <t>Жёсткий диск HPE 1.2TB / SAS / 10000 rpm / SFF / 2.5" HDD</t>
        </is>
      </c>
      <c r="C27" s="4" t="inlineStr"/>
      <c r="D27" s="4" t="n">
        <v>3508960</v>
      </c>
      <c r="E27" s="4" t="n">
        <v>3133000</v>
      </c>
      <c r="F27" s="4" t="inlineStr">
        <is>
          <t>HPE</t>
        </is>
      </c>
      <c r="G27" s="4">
        <f>HYPERLINK("https://itrix.uz/product/52", "🔗 Купить продукт")</f>
        <v/>
      </c>
      <c r="H27" s="4" t="inlineStr">
        <is>
          <t>2-52-58</t>
        </is>
      </c>
    </row>
    <row r="28" ht="30" customHeight="1">
      <c r="A28" s="3" t="inlineStr">
        <is>
          <t>Аксессуары</t>
        </is>
      </c>
      <c r="B28" s="3" t="inlineStr">
        <is>
          <t>Радиатор ЦП HPE DL360 G10+ High Performance Heatsink</t>
        </is>
      </c>
      <c r="C28" s="4" t="inlineStr"/>
      <c r="D28" s="4" t="n">
        <v>1397760</v>
      </c>
      <c r="E28" s="4" t="n">
        <v>1248000</v>
      </c>
      <c r="F28" s="4" t="inlineStr">
        <is>
          <t>HPE</t>
        </is>
      </c>
      <c r="G28" s="4">
        <f>HYPERLINK("https://itrix.uz/product/111", "🔗 Купить продукт")</f>
        <v/>
      </c>
      <c r="H28" s="4" t="inlineStr">
        <is>
          <t>2-111-117</t>
        </is>
      </c>
    </row>
    <row r="29" ht="30" customHeight="1">
      <c r="A29" s="3" t="inlineStr">
        <is>
          <t>Аксессуары</t>
        </is>
      </c>
      <c r="B29" s="3" t="inlineStr">
        <is>
          <t>Вентилятор охлаждения HPE DL360 p/e G8 Fan</t>
        </is>
      </c>
      <c r="C29" s="4" t="inlineStr"/>
      <c r="D29" s="4" t="n">
        <v>422240</v>
      </c>
      <c r="E29" s="4" t="n">
        <v>377000</v>
      </c>
      <c r="F29" s="4" t="inlineStr">
        <is>
          <t>HPE</t>
        </is>
      </c>
      <c r="G29" s="4">
        <f>HYPERLINK("https://itrix.uz/product/114", "🔗 Купить продукт")</f>
        <v/>
      </c>
      <c r="H29" s="4" t="inlineStr">
        <is>
          <t>2-114-120</t>
        </is>
      </c>
    </row>
    <row r="30" ht="30" customHeight="1">
      <c r="A30" s="3" t="inlineStr">
        <is>
          <t>Аксессуары</t>
        </is>
      </c>
      <c r="B30" s="3" t="inlineStr">
        <is>
          <t>Оптоволоконный кабель HPE 5m OM4 Fiber Channel Optic Cable Enterprise</t>
        </is>
      </c>
      <c r="C30" s="4" t="inlineStr"/>
      <c r="D30" s="4" t="n">
        <v>2096640</v>
      </c>
      <c r="E30" s="4" t="n">
        <v>1872000</v>
      </c>
      <c r="F30" s="4" t="inlineStr">
        <is>
          <t>HPE</t>
        </is>
      </c>
      <c r="G30" s="4">
        <f>HYPERLINK("https://itrix.uz/product/107", "🔗 Купить продукт")</f>
        <v/>
      </c>
      <c r="H30" s="4" t="inlineStr">
        <is>
          <t>2-107-113</t>
        </is>
      </c>
    </row>
    <row r="31" ht="30" customHeight="1">
      <c r="A31" s="3" t="inlineStr">
        <is>
          <t>Оперативная память (RAM)</t>
        </is>
      </c>
      <c r="B31" s="3" t="inlineStr">
        <is>
          <t>Оперативная память Samsung 32GB DDR4-2133MHz  2133P-RA0-10-DC0</t>
        </is>
      </c>
      <c r="C31" s="4" t="inlineStr"/>
      <c r="D31" s="4" t="n">
        <v>1397760</v>
      </c>
      <c r="E31" s="4" t="n">
        <v>1248000</v>
      </c>
      <c r="F31" s="4" t="inlineStr">
        <is>
          <t>Samsung</t>
        </is>
      </c>
      <c r="G31" s="4">
        <f>HYPERLINK("https://itrix.uz/product/79", "🔗 Купить продукт")</f>
        <v/>
      </c>
      <c r="H31" s="4" t="inlineStr">
        <is>
          <t>2-79-85</t>
        </is>
      </c>
    </row>
    <row r="32" ht="30" customHeight="1">
      <c r="A32" s="3" t="inlineStr">
        <is>
          <t>Аксессуары</t>
        </is>
      </c>
      <c r="B32" s="3" t="inlineStr">
        <is>
          <t>Переходная плата HPE DL38X Gen10 Plus x8/x16/x8 Secondary Riser Kit</t>
        </is>
      </c>
      <c r="C32" s="4" t="inlineStr"/>
      <c r="D32" s="4" t="n">
        <v>3508960</v>
      </c>
      <c r="E32" s="4" t="n">
        <v>3133000</v>
      </c>
      <c r="F32" s="4" t="inlineStr">
        <is>
          <t>HPE</t>
        </is>
      </c>
      <c r="G32" s="4">
        <f>HYPERLINK("https://itrix.uz/product/116", "🔗 Купить продукт")</f>
        <v/>
      </c>
      <c r="H32" s="4" t="inlineStr">
        <is>
          <t>2-116-122</t>
        </is>
      </c>
    </row>
    <row r="33" ht="30" customHeight="1">
      <c r="A33" s="3" t="inlineStr">
        <is>
          <t>Жёсткие диски SSD</t>
        </is>
      </c>
      <c r="B33" s="3" t="inlineStr">
        <is>
          <t>SSD Накопитель DELL 3.84TB / SAS / RI / SSD</t>
        </is>
      </c>
      <c r="C33" s="4" t="inlineStr"/>
      <c r="D33" s="4" t="n">
        <v>21024640</v>
      </c>
      <c r="E33" s="4" t="n">
        <v>18772000</v>
      </c>
      <c r="F33" s="4" t="inlineStr">
        <is>
          <t>Dell</t>
        </is>
      </c>
      <c r="G33" s="4">
        <f>HYPERLINK("https://itrix.uz/product/56", "🔗 Купить продукт")</f>
        <v/>
      </c>
      <c r="H33" s="4" t="inlineStr">
        <is>
          <t>2-56-62</t>
        </is>
      </c>
    </row>
    <row r="34" ht="30" customHeight="1">
      <c r="A34" s="3" t="inlineStr">
        <is>
          <t>Жёсткие диски SSD</t>
        </is>
      </c>
      <c r="B34" s="3" t="inlineStr">
        <is>
          <t>SSD Накопитель HPE 3.2TB / SAS / MU / SSD</t>
        </is>
      </c>
      <c r="C34" s="4" t="inlineStr"/>
      <c r="D34" s="4" t="n">
        <v>19612320</v>
      </c>
      <c r="E34" s="4" t="n">
        <v>17511000</v>
      </c>
      <c r="F34" s="4" t="inlineStr">
        <is>
          <t>HPE</t>
        </is>
      </c>
      <c r="G34" s="4">
        <f>HYPERLINK("https://itrix.uz/product/74", "🔗 Купить продукт")</f>
        <v/>
      </c>
      <c r="H34" s="4" t="inlineStr">
        <is>
          <t>2-74-80</t>
        </is>
      </c>
    </row>
    <row r="35" ht="30" customHeight="1">
      <c r="A35" s="3" t="inlineStr">
        <is>
          <t>Оперативная память (RAM)</t>
        </is>
      </c>
      <c r="B35" s="3" t="inlineStr">
        <is>
          <t>Оперативная память Samsung 64GB DDR4-3200MHz 3200AA</t>
        </is>
      </c>
      <c r="C35" s="4" t="inlineStr"/>
      <c r="D35" s="4" t="n">
        <v>3508960</v>
      </c>
      <c r="E35" s="4" t="n">
        <v>3133000</v>
      </c>
      <c r="F35" s="4" t="inlineStr">
        <is>
          <t>Samsung</t>
        </is>
      </c>
      <c r="G35" s="4">
        <f>HYPERLINK("https://itrix.uz/product/82", "🔗 Купить продукт")</f>
        <v/>
      </c>
      <c r="H35" s="4" t="inlineStr">
        <is>
          <t>2-82-88</t>
        </is>
      </c>
    </row>
    <row r="36" ht="30" customHeight="1">
      <c r="A36" s="3" t="inlineStr">
        <is>
          <t>Аксессуары</t>
        </is>
      </c>
      <c r="B36" s="3" t="inlineStr">
        <is>
          <t>Сетевой адаптер HPE Broadcom BCM5719 Ethernet 1Gb 4-port BASE-T PCIe</t>
        </is>
      </c>
      <c r="C36" s="4" t="inlineStr"/>
      <c r="D36" s="4" t="n">
        <v>2795520</v>
      </c>
      <c r="E36" s="4" t="n">
        <v>2496000</v>
      </c>
      <c r="F36" s="4" t="inlineStr">
        <is>
          <t>HPE</t>
        </is>
      </c>
      <c r="G36" s="4">
        <f>HYPERLINK("https://itrix.uz/product/131", "🔗 Купить продукт")</f>
        <v/>
      </c>
      <c r="H36" s="4" t="inlineStr">
        <is>
          <t>2-131-137</t>
        </is>
      </c>
    </row>
    <row r="37" ht="30" customHeight="1">
      <c r="A37" s="3" t="inlineStr">
        <is>
          <t>Аксессуары</t>
        </is>
      </c>
      <c r="B37" s="3" t="inlineStr">
        <is>
          <t xml:space="preserve">Сетевой адаптер HPE Broadcom BCM57412 Ethernet 10Gb 2-port SFP+  </t>
        </is>
      </c>
      <c r="C37" s="4" t="inlineStr"/>
      <c r="D37" s="4" t="n">
        <v>4207840</v>
      </c>
      <c r="E37" s="4" t="n">
        <v>3757000</v>
      </c>
      <c r="F37" s="4" t="inlineStr">
        <is>
          <t>HPE</t>
        </is>
      </c>
      <c r="G37" s="4">
        <f>HYPERLINK("https://itrix.uz/product/132", "🔗 Купить продукт")</f>
        <v/>
      </c>
      <c r="H37" s="4" t="inlineStr">
        <is>
          <t>2-132-138</t>
        </is>
      </c>
    </row>
    <row r="38" ht="30" customHeight="1">
      <c r="A38" s="3" t="inlineStr">
        <is>
          <t>Аксессуары</t>
        </is>
      </c>
      <c r="B38" s="3" t="inlineStr">
        <is>
          <t>HBA-адаптер HPE 32Gb FC 2-port HBA (SN1610Q)</t>
        </is>
      </c>
      <c r="C38" s="4" t="inlineStr"/>
      <c r="D38" s="4" t="n">
        <v>6260800</v>
      </c>
      <c r="E38" s="4" t="n">
        <v>5590000</v>
      </c>
      <c r="F38" s="4" t="inlineStr">
        <is>
          <t>HPE</t>
        </is>
      </c>
      <c r="G38" s="4">
        <f>HYPERLINK("https://itrix.uz/product/130", "🔗 Купить продукт")</f>
        <v/>
      </c>
      <c r="H38" s="4" t="inlineStr">
        <is>
          <t>2-130-136</t>
        </is>
      </c>
    </row>
    <row r="39" ht="30" customHeight="1">
      <c r="A39" s="3" t="inlineStr">
        <is>
          <t>Оперативная память (RAM)</t>
        </is>
      </c>
      <c r="B39" s="3" t="inlineStr">
        <is>
          <t>Оперативная память Samsung 32GB DDR4-2933MHz  2933Y-RB2-12-MH1</t>
        </is>
      </c>
      <c r="C39" s="4" t="inlineStr"/>
      <c r="D39" s="4" t="n">
        <v>1820000</v>
      </c>
      <c r="E39" s="4" t="n">
        <v>1625000</v>
      </c>
      <c r="F39" s="4" t="inlineStr">
        <is>
          <t>Samsung</t>
        </is>
      </c>
      <c r="G39" s="4">
        <f>HYPERLINK("https://itrix.uz/product/80", "🔗 Купить продукт")</f>
        <v/>
      </c>
      <c r="H39" s="4" t="inlineStr">
        <is>
          <t>2-80-86</t>
        </is>
      </c>
    </row>
    <row r="40" ht="30" customHeight="1">
      <c r="A40" s="3" t="inlineStr">
        <is>
          <t>Аксессуары</t>
        </is>
      </c>
      <c r="B40" s="3" t="inlineStr">
        <is>
          <t>Радиатор ЦП HPE DL380 G10 AMD High Performance Heatsink</t>
        </is>
      </c>
      <c r="C40" s="4" t="inlineStr"/>
      <c r="D40" s="4" t="n">
        <v>1397760</v>
      </c>
      <c r="E40" s="4" t="n">
        <v>1248000</v>
      </c>
      <c r="F40" s="4" t="inlineStr">
        <is>
          <t>HPE</t>
        </is>
      </c>
      <c r="G40" s="4">
        <f>HYPERLINK("https://itrix.uz/product/113", "🔗 Купить продукт")</f>
        <v/>
      </c>
      <c r="H40" s="4" t="inlineStr">
        <is>
          <t>2-113-119</t>
        </is>
      </c>
    </row>
    <row r="41" ht="30" customHeight="1">
      <c r="A41" s="3" t="inlineStr">
        <is>
          <t>Блоки питания</t>
        </is>
      </c>
      <c r="B41" s="3" t="inlineStr">
        <is>
          <t>Блок питания HPE 1000W Flex Slot Titanium Hot Plug</t>
        </is>
      </c>
      <c r="C41" s="4" t="inlineStr"/>
      <c r="D41" s="4" t="n">
        <v>3130400</v>
      </c>
      <c r="E41" s="4" t="n">
        <v>2795000</v>
      </c>
      <c r="F41" s="4" t="inlineStr">
        <is>
          <t>HPE</t>
        </is>
      </c>
      <c r="G41" s="4">
        <f>HYPERLINK("https://itrix.uz/product/155", "🔗 Купить продукт")</f>
        <v/>
      </c>
      <c r="H41" s="4" t="inlineStr">
        <is>
          <t>2-155-161</t>
        </is>
      </c>
    </row>
    <row r="42" ht="30" customHeight="1">
      <c r="A42" s="3" t="inlineStr">
        <is>
          <t>Блоки питания</t>
        </is>
      </c>
      <c r="B42" s="3" t="inlineStr">
        <is>
          <t>Блок питания DELL 800W G15 Hot-Plug Power Supply</t>
        </is>
      </c>
      <c r="C42" s="4" t="inlineStr"/>
      <c r="D42" s="4" t="n">
        <v>2795520</v>
      </c>
      <c r="E42" s="4" t="n">
        <v>2496000</v>
      </c>
      <c r="F42" s="4" t="inlineStr">
        <is>
          <t>Dell</t>
        </is>
      </c>
      <c r="G42" s="4">
        <f>HYPERLINK("https://itrix.uz/product/157", "🔗 Купить продукт")</f>
        <v/>
      </c>
      <c r="H42" s="4" t="inlineStr">
        <is>
          <t>2-157-163</t>
        </is>
      </c>
    </row>
    <row r="43" ht="30" customHeight="1">
      <c r="A43" s="3" t="inlineStr">
        <is>
          <t>NVME</t>
        </is>
      </c>
      <c r="B43" s="3" t="inlineStr">
        <is>
          <t>3.2TB PCI-e NVMe / Mix Use / Express Flash / PCI-e 4.0</t>
        </is>
      </c>
      <c r="C43" s="4" t="inlineStr"/>
      <c r="D43" s="4" t="n">
        <v>12987520</v>
      </c>
      <c r="E43" s="4" t="n">
        <v>11596000</v>
      </c>
      <c r="F43" s="4" t="inlineStr">
        <is>
          <t>Dell</t>
        </is>
      </c>
      <c r="G43" s="4">
        <f>HYPERLINK("https://itrix.uz/product/97", "🔗 Купить продукт")</f>
        <v/>
      </c>
      <c r="H43" s="4" t="inlineStr">
        <is>
          <t>2-97-103</t>
        </is>
      </c>
    </row>
    <row r="44" ht="30" customHeight="1">
      <c r="A44" s="3" t="inlineStr">
        <is>
          <t>Процессоры</t>
        </is>
      </c>
      <c r="B44" s="3" t="inlineStr">
        <is>
          <t>Intel Xeon Gold 6338 (2GHz/32-core/205W)</t>
        </is>
      </c>
      <c r="C44" s="4" t="inlineStr"/>
      <c r="D44" s="4" t="n">
        <v>31624320</v>
      </c>
      <c r="E44" s="4" t="n">
        <v>28236000</v>
      </c>
      <c r="F44" s="4" t="inlineStr">
        <is>
          <t>Intel</t>
        </is>
      </c>
      <c r="G44" s="4">
        <f>HYPERLINK("https://itrix.uz/product/358", "🔗 Купить продукт")</f>
        <v/>
      </c>
      <c r="H44" s="4" t="inlineStr">
        <is>
          <t>2-358-360</t>
        </is>
      </c>
    </row>
    <row r="45" ht="30" customHeight="1">
      <c r="A45" s="3" t="inlineStr">
        <is>
          <t>Аксессуары</t>
        </is>
      </c>
      <c r="B45" s="3" t="inlineStr">
        <is>
          <t>Дисковая корзина HPE DL380 Gen10 SFF Box1/2 Cage/Backplane Kit</t>
        </is>
      </c>
      <c r="C45" s="4" t="inlineStr"/>
      <c r="D45" s="4" t="n">
        <v>4207840</v>
      </c>
      <c r="E45" s="4" t="n">
        <v>3757000</v>
      </c>
      <c r="F45" s="4" t="inlineStr">
        <is>
          <t>HPE</t>
        </is>
      </c>
      <c r="G45" s="4">
        <f>HYPERLINK("https://itrix.uz/product/110", "🔗 Купить продукт")</f>
        <v/>
      </c>
      <c r="H45" s="4" t="inlineStr">
        <is>
          <t>2-110-116</t>
        </is>
      </c>
    </row>
    <row r="46" ht="30" customHeight="1">
      <c r="A46" s="3" t="inlineStr">
        <is>
          <t>Аксессуары</t>
        </is>
      </c>
      <c r="B46" s="3" t="inlineStr">
        <is>
          <t>Модуль безопасности DELL TPM 2.0 Module</t>
        </is>
      </c>
      <c r="C46" s="4" t="inlineStr"/>
      <c r="D46" s="4" t="n">
        <v>2795520</v>
      </c>
      <c r="E46" s="4" t="n">
        <v>2496000</v>
      </c>
      <c r="F46" s="4" t="inlineStr">
        <is>
          <t>Dell</t>
        </is>
      </c>
      <c r="G46" s="4">
        <f>HYPERLINK("https://itrix.uz/product/112", "🔗 Купить продукт")</f>
        <v/>
      </c>
      <c r="H46" s="4" t="inlineStr">
        <is>
          <t>2-112-118</t>
        </is>
      </c>
    </row>
    <row r="47" ht="30" customHeight="1">
      <c r="A47" s="3" t="inlineStr">
        <is>
          <t>Аксессуары</t>
        </is>
      </c>
      <c r="B47" s="3" t="inlineStr">
        <is>
          <t>Радиатор ЦП HPE ML110/150/350 G9 Heatsink</t>
        </is>
      </c>
      <c r="C47" s="4" t="inlineStr"/>
      <c r="D47" s="4" t="n">
        <v>567840</v>
      </c>
      <c r="E47" s="4" t="n">
        <v>507000</v>
      </c>
      <c r="F47" s="4" t="inlineStr">
        <is>
          <t>HPE</t>
        </is>
      </c>
      <c r="G47" s="4">
        <f>HYPERLINK("https://itrix.uz/product/118", "🔗 Купить продукт")</f>
        <v/>
      </c>
      <c r="H47" s="4" t="inlineStr">
        <is>
          <t>2-118-124</t>
        </is>
      </c>
    </row>
    <row r="48" ht="30" customHeight="1">
      <c r="A48" s="3" t="inlineStr">
        <is>
          <t>Жёсткие диски HDD</t>
        </is>
      </c>
      <c r="B48" s="3" t="inlineStr">
        <is>
          <t>Жёсткий диск DELL 12TB / SAS / 7200 rpm / LFF / 3.5" HDD</t>
        </is>
      </c>
      <c r="C48" s="4" t="inlineStr"/>
      <c r="D48" s="4" t="n">
        <v>5955040</v>
      </c>
      <c r="E48" s="4" t="n">
        <v>5317000</v>
      </c>
      <c r="F48" s="4" t="inlineStr">
        <is>
          <t>Dell</t>
        </is>
      </c>
      <c r="G48" s="4">
        <f>HYPERLINK("https://itrix.uz/product/37", "🔗 Купить продукт")</f>
        <v/>
      </c>
      <c r="H48" s="4" t="inlineStr">
        <is>
          <t>2-37-43</t>
        </is>
      </c>
    </row>
    <row r="49" ht="30" customHeight="1">
      <c r="A49" s="3" t="inlineStr">
        <is>
          <t>Процессоры</t>
        </is>
      </c>
      <c r="B49" s="3" t="inlineStr">
        <is>
          <t>Intel Xeon-Gold 5220R (2.2GHz/24-core/150W)</t>
        </is>
      </c>
      <c r="C49" s="4" t="inlineStr"/>
      <c r="D49" s="4" t="n">
        <v>19393920</v>
      </c>
      <c r="E49" s="4" t="n">
        <v>17316000</v>
      </c>
      <c r="F49" s="4" t="inlineStr">
        <is>
          <t>Intel</t>
        </is>
      </c>
      <c r="G49" s="4">
        <f>HYPERLINK("https://itrix.uz/product/346", "🔗 Купить продукт")</f>
        <v/>
      </c>
      <c r="H49" s="4" t="inlineStr">
        <is>
          <t>2-346-348</t>
        </is>
      </c>
    </row>
    <row r="50" ht="30" customHeight="1">
      <c r="A50" s="3" t="inlineStr">
        <is>
          <t>Процессоры</t>
        </is>
      </c>
      <c r="B50" s="3" t="inlineStr">
        <is>
          <t>Intel Xeon-Gold 6250 (3.9GHz/8-core/185W)</t>
        </is>
      </c>
      <c r="C50" s="4" t="inlineStr"/>
      <c r="D50" s="4" t="n">
        <v>46242560</v>
      </c>
      <c r="E50" s="4" t="n">
        <v>41288000</v>
      </c>
      <c r="F50" s="4" t="inlineStr">
        <is>
          <t>Intel</t>
        </is>
      </c>
      <c r="G50" s="4">
        <f>HYPERLINK("https://itrix.uz/product/354", "🔗 Купить продукт")</f>
        <v/>
      </c>
      <c r="H50" s="4" t="inlineStr">
        <is>
          <t>2-354-356</t>
        </is>
      </c>
    </row>
    <row r="51" ht="30" customHeight="1">
      <c r="A51" s="3" t="inlineStr">
        <is>
          <t>NVME</t>
        </is>
      </c>
      <c r="B51" s="3" t="inlineStr">
        <is>
          <t>6.4TB PCI-e NVMe / Mix Use / Express Flash / PCI-e 4.0</t>
        </is>
      </c>
      <c r="C51" s="4" t="inlineStr"/>
      <c r="D51" s="4" t="n">
        <v>15520960</v>
      </c>
      <c r="E51" s="4" t="n">
        <v>13858000</v>
      </c>
      <c r="F51" s="4" t="inlineStr">
        <is>
          <t>Dell</t>
        </is>
      </c>
      <c r="G51" s="4">
        <f>HYPERLINK("https://itrix.uz/product/98", "🔗 Купить продукт")</f>
        <v/>
      </c>
      <c r="H51" s="4" t="inlineStr">
        <is>
          <t>2-98-104</t>
        </is>
      </c>
    </row>
    <row r="52" ht="30" customHeight="1">
      <c r="A52" s="3" t="inlineStr">
        <is>
          <t>Жёсткие диски HDD</t>
        </is>
      </c>
      <c r="B52" s="3" t="inlineStr">
        <is>
          <t>Жёсткий диск WD Red Plus 4TB / SATA III / 5400 rpm / 3.5" HDD</t>
        </is>
      </c>
      <c r="C52" s="4" t="inlineStr"/>
      <c r="D52" s="4" t="n">
        <v>1820000</v>
      </c>
      <c r="E52" s="4" t="n">
        <v>1625000</v>
      </c>
      <c r="F52" s="4" t="inlineStr">
        <is>
          <t>Western Digital</t>
        </is>
      </c>
      <c r="G52" s="4">
        <f>HYPERLINK("https://itrix.uz/product/39", "🔗 Купить продукт")</f>
        <v/>
      </c>
      <c r="H52" s="4" t="inlineStr">
        <is>
          <t>2-39-45</t>
        </is>
      </c>
    </row>
    <row r="53" ht="30" customHeight="1">
      <c r="A53" s="3" t="inlineStr">
        <is>
          <t>Процессоры</t>
        </is>
      </c>
      <c r="B53" s="3" t="inlineStr">
        <is>
          <t>Intel Xeon Gold 6348 (2.6GHz/28-core/235W)</t>
        </is>
      </c>
      <c r="C53" s="4" t="inlineStr"/>
      <c r="D53" s="4" t="n">
        <v>37302720</v>
      </c>
      <c r="E53" s="4" t="n">
        <v>33306000</v>
      </c>
      <c r="F53" s="4" t="inlineStr">
        <is>
          <t>Intel</t>
        </is>
      </c>
      <c r="G53" s="4">
        <f>HYPERLINK("https://itrix.uz/product/361", "🔗 Купить продукт")</f>
        <v/>
      </c>
      <c r="H53" s="4" t="inlineStr">
        <is>
          <t>2-361-363</t>
        </is>
      </c>
    </row>
    <row r="54" ht="30" customHeight="1">
      <c r="A54" s="3" t="inlineStr">
        <is>
          <t>Жёсткие диски HDD</t>
        </is>
      </c>
      <c r="B54" s="3" t="inlineStr">
        <is>
          <t>Жёсткий диск DELL 16TB / SAS / 7200 rpm / LFF / 3.5" HDD</t>
        </is>
      </c>
      <c r="C54" s="4" t="inlineStr"/>
      <c r="D54" s="4" t="n">
        <v>6304480</v>
      </c>
      <c r="E54" s="4" t="n">
        <v>5629000</v>
      </c>
      <c r="F54" s="4" t="inlineStr">
        <is>
          <t>Dell</t>
        </is>
      </c>
      <c r="G54" s="4">
        <f>HYPERLINK("https://itrix.uz/product/41", "🔗 Купить продукт")</f>
        <v/>
      </c>
      <c r="H54" s="4" t="inlineStr">
        <is>
          <t>2-41-47</t>
        </is>
      </c>
    </row>
    <row r="55" ht="30" customHeight="1">
      <c r="A55" s="3" t="inlineStr">
        <is>
          <t>Процессоры</t>
        </is>
      </c>
      <c r="B55" s="3" t="inlineStr">
        <is>
          <t>Intel Xeon Gold 6354 (3.0GHz/18-core/205W)</t>
        </is>
      </c>
      <c r="C55" s="4" t="inlineStr"/>
      <c r="D55" s="4" t="n">
        <v>39384800</v>
      </c>
      <c r="E55" s="4" t="n">
        <v>35165000</v>
      </c>
      <c r="F55" s="4" t="inlineStr">
        <is>
          <t>Intel</t>
        </is>
      </c>
      <c r="G55" s="4">
        <f>HYPERLINK("https://itrix.uz/product/362", "🔗 Купить продукт")</f>
        <v/>
      </c>
      <c r="H55" s="4" t="inlineStr">
        <is>
          <t>2-362-364</t>
        </is>
      </c>
    </row>
    <row r="56" ht="30" customHeight="1">
      <c r="A56" s="3" t="inlineStr">
        <is>
          <t>Жёсткие диски HDD</t>
        </is>
      </c>
      <c r="B56" s="3" t="inlineStr">
        <is>
          <t>Жесткий диск DELL 18TB / SAS / 7200 rpm / LFF / 3.5" HDD</t>
        </is>
      </c>
      <c r="C56" s="4" t="inlineStr"/>
      <c r="D56" s="4" t="n">
        <v>7003360</v>
      </c>
      <c r="E56" s="4" t="n">
        <v>6253000</v>
      </c>
      <c r="F56" s="4" t="inlineStr">
        <is>
          <t>Dell</t>
        </is>
      </c>
      <c r="G56" s="4">
        <f>HYPERLINK("https://itrix.uz/product/48", "🔗 Купить продукт")</f>
        <v/>
      </c>
      <c r="H56" s="4" t="inlineStr">
        <is>
          <t>2-48-54</t>
        </is>
      </c>
    </row>
    <row r="57" ht="30" customHeight="1">
      <c r="A57" s="3" t="inlineStr">
        <is>
          <t>Жёсткие диски HDD</t>
        </is>
      </c>
      <c r="B57" s="3" t="inlineStr">
        <is>
          <t>Жесткий диск HPE 1TB / SATA / 7200 rpm / LFF / 3.5" HDD</t>
        </is>
      </c>
      <c r="C57" s="4" t="inlineStr"/>
      <c r="D57" s="4" t="n">
        <v>2693600</v>
      </c>
      <c r="E57" s="4" t="n">
        <v>2405000</v>
      </c>
      <c r="F57" s="4" t="inlineStr">
        <is>
          <t>HPE</t>
        </is>
      </c>
      <c r="G57" s="4">
        <f>HYPERLINK("https://itrix.uz/product/44", "🔗 Купить продукт")</f>
        <v/>
      </c>
      <c r="H57" s="4" t="inlineStr">
        <is>
          <t>2-44-50</t>
        </is>
      </c>
    </row>
    <row r="58" ht="30" customHeight="1">
      <c r="A58" s="3" t="inlineStr">
        <is>
          <t>Жёсткие диски HDD</t>
        </is>
      </c>
      <c r="B58" s="3" t="inlineStr">
        <is>
          <t>Жесткий диск DELL 2TB / SAS / 7200 rpm / LFF / 3.5" HDD</t>
        </is>
      </c>
      <c r="C58" s="4" t="inlineStr"/>
      <c r="D58" s="4" t="n">
        <v>2810080</v>
      </c>
      <c r="E58" s="4" t="n">
        <v>2509000</v>
      </c>
      <c r="F58" s="4" t="inlineStr">
        <is>
          <t>Dell</t>
        </is>
      </c>
      <c r="G58" s="4">
        <f>HYPERLINK("https://itrix.uz/product/46", "🔗 Купить продукт")</f>
        <v/>
      </c>
      <c r="H58" s="4" t="inlineStr">
        <is>
          <t>2-46-52</t>
        </is>
      </c>
    </row>
    <row r="59" ht="30" customHeight="1">
      <c r="A59" s="3" t="inlineStr">
        <is>
          <t>Блоки питания</t>
        </is>
      </c>
      <c r="B59" s="3" t="inlineStr">
        <is>
          <t>Блок питания HPE G10 Plus 1600W Flex Slot Platinum Hot Plug Low Halogen Power Supply</t>
        </is>
      </c>
      <c r="C59" s="4" t="inlineStr"/>
      <c r="D59" s="4" t="n">
        <v>4906720</v>
      </c>
      <c r="E59" s="4" t="n">
        <v>4381000</v>
      </c>
      <c r="F59" s="4" t="inlineStr">
        <is>
          <t>HPE</t>
        </is>
      </c>
      <c r="G59" s="4">
        <f>HYPERLINK("https://itrix.uz/product/109", "🔗 Купить продукт")</f>
        <v/>
      </c>
      <c r="H59" s="4" t="inlineStr">
        <is>
          <t>2-109-115</t>
        </is>
      </c>
    </row>
    <row r="60" ht="30" customHeight="1">
      <c r="A60" s="3" t="inlineStr">
        <is>
          <t>Жёсткие диски HDD</t>
        </is>
      </c>
      <c r="B60" s="3" t="inlineStr">
        <is>
          <t>Жесткий диск HPE 300GB / SAS / 10000 rpm / SFF / 2.5" HDD</t>
        </is>
      </c>
      <c r="C60" s="4" t="inlineStr"/>
      <c r="D60" s="4" t="n">
        <v>596960</v>
      </c>
      <c r="E60" s="4" t="n">
        <v>533000</v>
      </c>
      <c r="F60" s="4" t="inlineStr">
        <is>
          <t>HPE</t>
        </is>
      </c>
      <c r="G60" s="4">
        <f>HYPERLINK("https://itrix.uz/product/47", "🔗 Купить продукт")</f>
        <v/>
      </c>
      <c r="H60" s="4" t="inlineStr">
        <is>
          <t>2-47-53</t>
        </is>
      </c>
    </row>
    <row r="61" ht="30" customHeight="1">
      <c r="A61" s="3" t="inlineStr">
        <is>
          <t>Блоки питания</t>
        </is>
      </c>
      <c r="B61" s="3" t="inlineStr">
        <is>
          <t>Блок питания HPE 500W Flex Slot Platinum Hot Plug Low Halogen PS</t>
        </is>
      </c>
      <c r="C61" s="4" t="inlineStr"/>
      <c r="D61" s="4" t="n">
        <v>2591680</v>
      </c>
      <c r="E61" s="4" t="n">
        <v>2314000</v>
      </c>
      <c r="F61" s="4" t="inlineStr">
        <is>
          <t>HPE</t>
        </is>
      </c>
      <c r="G61" s="4">
        <f>HYPERLINK("https://itrix.uz/product/120", "🔗 Купить продукт")</f>
        <v/>
      </c>
      <c r="H61" s="4" t="inlineStr">
        <is>
          <t>2-120-126</t>
        </is>
      </c>
    </row>
    <row r="62" ht="30" customHeight="1">
      <c r="A62" s="3" t="inlineStr">
        <is>
          <t>Аксессуары</t>
        </is>
      </c>
      <c r="B62" s="3" t="inlineStr">
        <is>
          <t>Комплект направляющих Synology RKS-02</t>
        </is>
      </c>
      <c r="C62" s="4" t="inlineStr"/>
      <c r="D62" s="4" t="n">
        <v>3712800</v>
      </c>
      <c r="E62" s="4" t="n">
        <v>3315000</v>
      </c>
      <c r="F62" s="4" t="inlineStr">
        <is>
          <t>Synology</t>
        </is>
      </c>
      <c r="G62" s="4">
        <f>HYPERLINK("https://itrix.uz/product/278", "🔗 Купить продукт")</f>
        <v/>
      </c>
      <c r="H62" s="4" t="inlineStr">
        <is>
          <t>2-278-280</t>
        </is>
      </c>
    </row>
    <row r="63" ht="30" customHeight="1">
      <c r="A63" s="3" t="inlineStr">
        <is>
          <t>Аксессуары</t>
        </is>
      </c>
      <c r="B63" s="3" t="inlineStr">
        <is>
          <t>Сетевая интерфейсная карта DELL 57414 2port 25GB SFP28 OCP3</t>
        </is>
      </c>
      <c r="C63" s="4" t="inlineStr"/>
      <c r="D63" s="4" t="n">
        <v>4906720</v>
      </c>
      <c r="E63" s="4" t="n">
        <v>4381000</v>
      </c>
      <c r="F63" s="4" t="inlineStr">
        <is>
          <t>Dell</t>
        </is>
      </c>
      <c r="G63" s="4">
        <f>HYPERLINK("https://itrix.uz/product/102", "🔗 Купить продукт")</f>
        <v/>
      </c>
      <c r="H63" s="4" t="inlineStr">
        <is>
          <t>2-102-365</t>
        </is>
      </c>
    </row>
    <row r="64" ht="30" customHeight="1">
      <c r="A64" s="3" t="inlineStr">
        <is>
          <t>Жёсткие диски HDD</t>
        </is>
      </c>
      <c r="B64" s="3" t="inlineStr">
        <is>
          <t>Жесткий диск HPE 900GB / SAS / 15000rpm / SFF / 2.5" HDD</t>
        </is>
      </c>
      <c r="C64" s="4" t="inlineStr"/>
      <c r="D64" s="4" t="n">
        <v>5416320</v>
      </c>
      <c r="E64" s="4" t="n">
        <v>4836000</v>
      </c>
      <c r="F64" s="4" t="inlineStr">
        <is>
          <t>HPE</t>
        </is>
      </c>
      <c r="G64" s="4">
        <f>HYPERLINK("https://itrix.uz/product/50", "🔗 Купить продукт")</f>
        <v/>
      </c>
      <c r="H64" s="4" t="inlineStr">
        <is>
          <t>2-50-56</t>
        </is>
      </c>
    </row>
    <row r="65" ht="30" customHeight="1">
      <c r="A65" s="3" t="inlineStr">
        <is>
          <t>Аксессуары</t>
        </is>
      </c>
      <c r="B65" s="3" t="inlineStr">
        <is>
          <t>DELL 2SFF NVMe Riser R750 Cable</t>
        </is>
      </c>
      <c r="C65" s="4" t="inlineStr"/>
      <c r="D65" s="4" t="n">
        <v>3494400</v>
      </c>
      <c r="E65" s="4" t="n">
        <v>3120000</v>
      </c>
      <c r="F65" s="4" t="inlineStr">
        <is>
          <t>Dell</t>
        </is>
      </c>
      <c r="G65" s="4">
        <f>HYPERLINK("https://itrix.uz/product/117", "🔗 Купить продукт")</f>
        <v/>
      </c>
      <c r="H65" s="4" t="inlineStr">
        <is>
          <t>2-117-123</t>
        </is>
      </c>
    </row>
    <row r="66" ht="30" customHeight="1">
      <c r="A66" s="3" t="inlineStr">
        <is>
          <t>Аксессуары</t>
        </is>
      </c>
      <c r="B66" s="3" t="inlineStr">
        <is>
          <t>Радиатор ЦП DELL R440/R540 CPU1 Heatsink</t>
        </is>
      </c>
      <c r="C66" s="4" t="inlineStr"/>
      <c r="D66" s="4" t="n">
        <v>698880</v>
      </c>
      <c r="E66" s="4" t="n">
        <v>624000</v>
      </c>
      <c r="F66" s="4" t="inlineStr">
        <is>
          <t>Dell</t>
        </is>
      </c>
      <c r="G66" s="4">
        <f>HYPERLINK("https://itrix.uz/product/126", "🔗 Купить продукт")</f>
        <v/>
      </c>
      <c r="H66" s="4" t="inlineStr">
        <is>
          <t>2-126-132</t>
        </is>
      </c>
    </row>
    <row r="67" ht="30" customHeight="1">
      <c r="A67" s="3" t="inlineStr">
        <is>
          <t>Жёсткие диски SSD</t>
        </is>
      </c>
      <c r="B67" s="3" t="inlineStr">
        <is>
          <t>SSD Накопитель HPE 3.84TB / NVMe / RI / SAS / SSD</t>
        </is>
      </c>
      <c r="C67" s="4" t="inlineStr"/>
      <c r="D67" s="4" t="n">
        <v>21024640</v>
      </c>
      <c r="E67" s="4" t="n">
        <v>18772000</v>
      </c>
      <c r="F67" s="4" t="inlineStr">
        <is>
          <t>HPE</t>
        </is>
      </c>
      <c r="G67" s="4">
        <f>HYPERLINK("https://itrix.uz/product/51", "🔗 Купить продукт")</f>
        <v/>
      </c>
      <c r="H67" s="4" t="inlineStr">
        <is>
          <t>2-51-57</t>
        </is>
      </c>
    </row>
    <row r="68" ht="30" customHeight="1">
      <c r="A68" s="3" t="inlineStr">
        <is>
          <t>Блоки питания</t>
        </is>
      </c>
      <c r="B68" s="3" t="inlineStr">
        <is>
          <t>Блок питания DELL Power Supply (1 PSU) 1100W Hot Plug, Mixed Mode, Kit for G15</t>
        </is>
      </c>
      <c r="C68" s="4" t="inlineStr"/>
      <c r="D68" s="4" t="n">
        <v>3276000</v>
      </c>
      <c r="E68" s="4" t="n">
        <v>2925000</v>
      </c>
      <c r="F68" s="4" t="inlineStr">
        <is>
          <t>Dell</t>
        </is>
      </c>
      <c r="G68" s="4">
        <f>HYPERLINK("https://itrix.uz/product/158", "🔗 Купить продукт")</f>
        <v/>
      </c>
      <c r="H68" s="4" t="inlineStr">
        <is>
          <t>2-158-164</t>
        </is>
      </c>
    </row>
    <row r="69" ht="30" customHeight="1">
      <c r="A69" s="3" t="inlineStr">
        <is>
          <t>Процессоры</t>
        </is>
      </c>
      <c r="B69" s="3" t="inlineStr">
        <is>
          <t>Intel Xeon Gold 6346 (3.1GHz/16-core/205W)</t>
        </is>
      </c>
      <c r="C69" s="4" t="inlineStr"/>
      <c r="D69" s="4" t="n">
        <v>28348320</v>
      </c>
      <c r="E69" s="4" t="n">
        <v>25311000</v>
      </c>
      <c r="F69" s="4" t="inlineStr">
        <is>
          <t>Intel</t>
        </is>
      </c>
      <c r="G69" s="4">
        <f>HYPERLINK("https://itrix.uz/product/360", "🔗 Купить продукт")</f>
        <v/>
      </c>
      <c r="H69" s="4" t="inlineStr">
        <is>
          <t>2-360-362</t>
        </is>
      </c>
    </row>
    <row r="70" ht="30" customHeight="1">
      <c r="A70" s="3" t="inlineStr">
        <is>
          <t>Блоки питания</t>
        </is>
      </c>
      <c r="B70" s="3" t="inlineStr">
        <is>
          <t>Блок питания HPE 500W Flex Slot Platinum Hot Plug</t>
        </is>
      </c>
      <c r="C70" s="4" t="inlineStr"/>
      <c r="D70" s="4" t="n">
        <v>2082080</v>
      </c>
      <c r="E70" s="4" t="n">
        <v>1859000</v>
      </c>
      <c r="F70" s="4" t="inlineStr">
        <is>
          <t>HPE</t>
        </is>
      </c>
      <c r="G70" s="4">
        <f>HYPERLINK("https://itrix.uz/product/154", "🔗 Купить продукт")</f>
        <v/>
      </c>
      <c r="H70" s="4" t="inlineStr">
        <is>
          <t>2-154-160</t>
        </is>
      </c>
    </row>
    <row r="71" ht="30" customHeight="1">
      <c r="A71" s="3" t="inlineStr">
        <is>
          <t>Процессоры</t>
        </is>
      </c>
      <c r="B71" s="3" t="inlineStr">
        <is>
          <t>Intel Xeon Gold 6326 (2.9GHz/16-core/185W)</t>
        </is>
      </c>
      <c r="C71" s="4" t="inlineStr"/>
      <c r="D71" s="4" t="n">
        <v>21781760</v>
      </c>
      <c r="E71" s="4" t="n">
        <v>19448000</v>
      </c>
      <c r="F71" s="4" t="inlineStr">
        <is>
          <t>Intel</t>
        </is>
      </c>
      <c r="G71" s="4">
        <f>HYPERLINK("https://itrix.uz/product/355", "🔗 Купить продукт")</f>
        <v/>
      </c>
      <c r="H71" s="4" t="inlineStr">
        <is>
          <t>2-355-357</t>
        </is>
      </c>
    </row>
    <row r="72" ht="30" customHeight="1">
      <c r="A72" s="3" t="inlineStr">
        <is>
          <t>Жёсткие диски SSD</t>
        </is>
      </c>
      <c r="B72" s="3" t="inlineStr">
        <is>
          <t>SSD Накопитель HPE 480GB / SATA / MU / SSD</t>
        </is>
      </c>
      <c r="C72" s="4" t="inlineStr"/>
      <c r="D72" s="4" t="n">
        <v>6304480</v>
      </c>
      <c r="E72" s="4" t="n">
        <v>5629000</v>
      </c>
      <c r="F72" s="4" t="inlineStr">
        <is>
          <t>HPE</t>
        </is>
      </c>
      <c r="G72" s="4">
        <f>HYPERLINK("https://itrix.uz/product/58", "🔗 Купить продукт")</f>
        <v/>
      </c>
      <c r="H72" s="4" t="inlineStr">
        <is>
          <t>2-58-64</t>
        </is>
      </c>
    </row>
    <row r="73" ht="30" customHeight="1">
      <c r="A73" s="3" t="inlineStr">
        <is>
          <t>Процессоры</t>
        </is>
      </c>
      <c r="B73" s="3" t="inlineStr">
        <is>
          <t>Intel Xeon Silver 4309Y 2.8G, 8C, 12M (105W)</t>
        </is>
      </c>
      <c r="C73" s="4" t="inlineStr"/>
      <c r="D73" s="4" t="n">
        <v>8800792</v>
      </c>
      <c r="E73" s="4" t="n">
        <v>7857850</v>
      </c>
      <c r="F73" s="4" t="inlineStr">
        <is>
          <t>Intel</t>
        </is>
      </c>
      <c r="G73" s="4">
        <f>HYPERLINK("https://itrix.uz/product/333", "🔗 Купить продукт")</f>
        <v/>
      </c>
      <c r="H73" s="4" t="inlineStr">
        <is>
          <t>2-333-335</t>
        </is>
      </c>
    </row>
    <row r="74" ht="30" customHeight="1">
      <c r="A74" s="3" t="inlineStr">
        <is>
          <t>Процессоры</t>
        </is>
      </c>
      <c r="B74" s="3" t="inlineStr">
        <is>
          <t>Intel Xeon-Silver 4210 (2.2GHz/10-core/85W)</t>
        </is>
      </c>
      <c r="C74" s="4" t="inlineStr"/>
      <c r="D74" s="4" t="n">
        <v>4027296</v>
      </c>
      <c r="E74" s="4" t="n">
        <v>3595800</v>
      </c>
      <c r="F74" s="4" t="inlineStr">
        <is>
          <t>Intel</t>
        </is>
      </c>
      <c r="G74" s="4">
        <f>HYPERLINK("https://itrix.uz/product/335", "🔗 Купить продукт")</f>
        <v/>
      </c>
      <c r="H74" s="4" t="inlineStr">
        <is>
          <t>2-335-337</t>
        </is>
      </c>
    </row>
    <row r="75" ht="30" customHeight="1">
      <c r="A75" s="3" t="inlineStr">
        <is>
          <t>Жёсткие диски SSD</t>
        </is>
      </c>
      <c r="B75" s="3" t="inlineStr">
        <is>
          <t>SSD Накопитель HPE 960GB / SAS / MU / SSD</t>
        </is>
      </c>
      <c r="C75" s="4" t="inlineStr"/>
      <c r="D75" s="4" t="n">
        <v>10512320</v>
      </c>
      <c r="E75" s="4" t="n">
        <v>9386000</v>
      </c>
      <c r="F75" s="4" t="inlineStr">
        <is>
          <t>HPE</t>
        </is>
      </c>
      <c r="G75" s="4">
        <f>HYPERLINK("https://itrix.uz/product/63", "🔗 Купить продукт")</f>
        <v/>
      </c>
      <c r="H75" s="4" t="inlineStr">
        <is>
          <t>2-63-69</t>
        </is>
      </c>
    </row>
    <row r="76" ht="30" customHeight="1">
      <c r="A76" s="3" t="inlineStr">
        <is>
          <t>Аксессуары</t>
        </is>
      </c>
      <c r="B76" s="3" t="inlineStr">
        <is>
          <t>Сетевая карта Intel X710-DA2 SFP+</t>
        </is>
      </c>
      <c r="C76" s="4" t="inlineStr"/>
      <c r="D76" s="4" t="n">
        <v>5605600</v>
      </c>
      <c r="E76" s="4" t="n">
        <v>5005000</v>
      </c>
      <c r="F76" s="4" t="inlineStr">
        <is>
          <t>Intel</t>
        </is>
      </c>
      <c r="G76" s="4">
        <f>HYPERLINK("https://itrix.uz/product/122", "🔗 Купить продукт")</f>
        <v/>
      </c>
      <c r="H76" s="4" t="inlineStr">
        <is>
          <t>2-122-128</t>
        </is>
      </c>
    </row>
    <row r="77" ht="30" customHeight="1">
      <c r="A77" s="3" t="inlineStr">
        <is>
          <t>Процессоры</t>
        </is>
      </c>
      <c r="B77" s="3" t="inlineStr">
        <is>
          <t>Intel Xeon Gold 6342 (2.8GHz/24-core/230W)</t>
        </is>
      </c>
      <c r="C77" s="4" t="inlineStr"/>
      <c r="D77" s="4" t="n">
        <v>38787840</v>
      </c>
      <c r="E77" s="4" t="n">
        <v>34632000</v>
      </c>
      <c r="F77" s="4" t="inlineStr">
        <is>
          <t>Intel</t>
        </is>
      </c>
      <c r="G77" s="4">
        <f>HYPERLINK("https://itrix.uz/product/359", "🔗 Купить продукт")</f>
        <v/>
      </c>
      <c r="H77" s="4" t="inlineStr">
        <is>
          <t>2-359-361</t>
        </is>
      </c>
    </row>
    <row r="78" ht="30" customHeight="1">
      <c r="A78" s="3" t="inlineStr">
        <is>
          <t>Аксессуары</t>
        </is>
      </c>
      <c r="B78" s="3" t="inlineStr">
        <is>
          <t>Дисковая корзина HPE ML110/ML350 Gen10 4LFF Drive Backplane Cage Kit</t>
        </is>
      </c>
      <c r="C78" s="4" t="inlineStr"/>
      <c r="D78" s="4" t="n">
        <v>3217760</v>
      </c>
      <c r="E78" s="4" t="n">
        <v>2873000</v>
      </c>
      <c r="F78" s="4" t="inlineStr">
        <is>
          <t>HPE</t>
        </is>
      </c>
      <c r="G78" s="4">
        <f>HYPERLINK("https://itrix.uz/product/104", "🔗 Купить продукт")</f>
        <v/>
      </c>
      <c r="H78" s="4" t="inlineStr">
        <is>
          <t>2-104-110</t>
        </is>
      </c>
    </row>
    <row r="79" ht="30" customHeight="1">
      <c r="A79" s="3" t="inlineStr">
        <is>
          <t>Жёсткие диски SSD</t>
        </is>
      </c>
      <c r="B79" s="3" t="inlineStr">
        <is>
          <t>SSD Накопитель HPE 1.92TB / SATA / RI / SSD</t>
        </is>
      </c>
      <c r="C79" s="4" t="inlineStr"/>
      <c r="D79" s="4" t="n">
        <v>16816800</v>
      </c>
      <c r="E79" s="4" t="n">
        <v>15015000</v>
      </c>
      <c r="F79" s="4" t="inlineStr">
        <is>
          <t>HPE</t>
        </is>
      </c>
      <c r="G79" s="4">
        <f>HYPERLINK("https://itrix.uz/product/64", "🔗 Купить продукт")</f>
        <v/>
      </c>
      <c r="H79" s="4" t="inlineStr">
        <is>
          <t>2-64-70</t>
        </is>
      </c>
    </row>
    <row r="80" ht="30" customHeight="1">
      <c r="A80" s="3" t="inlineStr">
        <is>
          <t>Процессоры</t>
        </is>
      </c>
      <c r="B80" s="3" t="inlineStr">
        <is>
          <t>Intel Xeon Gold 6334 (3.6GHz/8-core/165W)</t>
        </is>
      </c>
      <c r="C80" s="4" t="inlineStr"/>
      <c r="D80" s="4" t="n">
        <v>25960480</v>
      </c>
      <c r="E80" s="4" t="n">
        <v>23179000</v>
      </c>
      <c r="F80" s="4" t="inlineStr">
        <is>
          <t>Intel</t>
        </is>
      </c>
      <c r="G80" s="4">
        <f>HYPERLINK("https://itrix.uz/product/357", "🔗 Купить продукт")</f>
        <v/>
      </c>
      <c r="H80" s="4" t="inlineStr">
        <is>
          <t>2-357-359</t>
        </is>
      </c>
    </row>
    <row r="81" ht="30" customHeight="1">
      <c r="A81" s="3" t="inlineStr">
        <is>
          <t>Жёсткие диски SSD</t>
        </is>
      </c>
      <c r="B81" s="3" t="inlineStr">
        <is>
          <t>SSD Накопитель HPE 960GB / SATA / RI / SSD</t>
        </is>
      </c>
      <c r="C81" s="4" t="inlineStr"/>
      <c r="D81" s="4" t="n">
        <v>5416320</v>
      </c>
      <c r="E81" s="4" t="n">
        <v>4836000</v>
      </c>
      <c r="F81" s="4" t="inlineStr">
        <is>
          <t>HPE</t>
        </is>
      </c>
      <c r="G81" s="4">
        <f>HYPERLINK("https://itrix.uz/product/73", "🔗 Купить продукт")</f>
        <v/>
      </c>
      <c r="H81" s="4" t="inlineStr">
        <is>
          <t>2-73-79</t>
        </is>
      </c>
    </row>
    <row r="82" ht="30" customHeight="1">
      <c r="A82" s="3" t="inlineStr">
        <is>
          <t>Аксессуары</t>
        </is>
      </c>
      <c r="B82" s="3" t="inlineStr">
        <is>
          <t>Сетевая карта HPE 560SFP+ 10Gb 2-port PCIe</t>
        </is>
      </c>
      <c r="C82" s="4" t="inlineStr"/>
      <c r="D82" s="4" t="n">
        <v>4207840</v>
      </c>
      <c r="E82" s="4" t="n">
        <v>3757000</v>
      </c>
      <c r="F82" s="4" t="inlineStr">
        <is>
          <t>HPE</t>
        </is>
      </c>
      <c r="G82" s="4">
        <f>HYPERLINK("https://itrix.uz/product/123", "🔗 Купить продукт")</f>
        <v/>
      </c>
      <c r="H82" s="4" t="inlineStr">
        <is>
          <t>2-123-129</t>
        </is>
      </c>
    </row>
    <row r="83" ht="30" customHeight="1">
      <c r="A83" s="3" t="inlineStr">
        <is>
          <t>Процессоры</t>
        </is>
      </c>
      <c r="B83" s="3" t="inlineStr">
        <is>
          <t>Intel Xeon-Gold 6226R (2.9GHz/16-core/150W)</t>
        </is>
      </c>
      <c r="C83" s="4" t="inlineStr"/>
      <c r="D83" s="4" t="n">
        <v>16700320</v>
      </c>
      <c r="E83" s="4" t="n">
        <v>14911000</v>
      </c>
      <c r="F83" s="4" t="inlineStr">
        <is>
          <t>Intel</t>
        </is>
      </c>
      <c r="G83" s="4">
        <f>HYPERLINK("https://itrix.uz/product/351", "🔗 Купить продукт")</f>
        <v/>
      </c>
      <c r="H83" s="4" t="inlineStr">
        <is>
          <t>2-351-353</t>
        </is>
      </c>
    </row>
    <row r="84" ht="30" customHeight="1">
      <c r="A84" s="3" t="inlineStr">
        <is>
          <t>Процессоры</t>
        </is>
      </c>
      <c r="B84" s="3" t="inlineStr">
        <is>
          <t>Intel Xeon Gold 5320 (2.2GHz/26-core/185W)</t>
        </is>
      </c>
      <c r="C84" s="4" t="inlineStr"/>
      <c r="D84" s="4" t="n">
        <v>18913440</v>
      </c>
      <c r="E84" s="4" t="n">
        <v>16887000</v>
      </c>
      <c r="F84" s="4" t="inlineStr">
        <is>
          <t>Intel</t>
        </is>
      </c>
      <c r="G84" s="4">
        <f>HYPERLINK("https://itrix.uz/product/350", "🔗 Купить продукт")</f>
        <v/>
      </c>
      <c r="H84" s="4" t="inlineStr">
        <is>
          <t>2-350-352</t>
        </is>
      </c>
    </row>
    <row r="85" ht="30" customHeight="1">
      <c r="A85" s="3" t="inlineStr">
        <is>
          <t>Процессоры</t>
        </is>
      </c>
      <c r="B85" s="3" t="inlineStr">
        <is>
          <t>Intel Xeon Gold 6330 (2.0GHz/28-core/205W)</t>
        </is>
      </c>
      <c r="C85" s="4" t="inlineStr"/>
      <c r="D85" s="4" t="n">
        <v>18214560</v>
      </c>
      <c r="E85" s="4" t="n">
        <v>16263000</v>
      </c>
      <c r="F85" s="4" t="inlineStr">
        <is>
          <t>Intel</t>
        </is>
      </c>
      <c r="G85" s="4">
        <f>HYPERLINK("https://itrix.uz/product/356", "🔗 Купить продукт")</f>
        <v/>
      </c>
      <c r="H85" s="4" t="inlineStr">
        <is>
          <t>2-356-358</t>
        </is>
      </c>
    </row>
    <row r="86" ht="30" customHeight="1">
      <c r="A86" s="3" t="inlineStr">
        <is>
          <t>Аксессуары</t>
        </is>
      </c>
      <c r="B86" s="3" t="inlineStr">
        <is>
          <t xml:space="preserve">RAID-контроллер DELL Perc H345 RAID Controller </t>
        </is>
      </c>
      <c r="C86" s="4" t="inlineStr"/>
      <c r="D86" s="4" t="n">
        <v>4207840</v>
      </c>
      <c r="E86" s="4" t="n">
        <v>3757000</v>
      </c>
      <c r="F86" s="4" t="inlineStr">
        <is>
          <t>Dell</t>
        </is>
      </c>
      <c r="G86" s="4">
        <f>HYPERLINK("https://itrix.uz/product/115", "🔗 Купить продукт")</f>
        <v/>
      </c>
      <c r="H86" s="4" t="inlineStr">
        <is>
          <t>2-115-121</t>
        </is>
      </c>
    </row>
    <row r="87" ht="30" customHeight="1">
      <c r="A87" s="3" t="inlineStr">
        <is>
          <t>Аксессуары</t>
        </is>
      </c>
      <c r="B87" s="3" t="inlineStr">
        <is>
          <t>Сетевая карта Broadcom 5720 1Gb 2-port PCIe</t>
        </is>
      </c>
      <c r="C87" s="4" t="inlineStr"/>
      <c r="D87" s="4" t="n">
        <v>2096640</v>
      </c>
      <c r="E87" s="4" t="n">
        <v>1872000</v>
      </c>
      <c r="F87" s="4" t="inlineStr">
        <is>
          <t>Dell</t>
        </is>
      </c>
      <c r="G87" s="4">
        <f>HYPERLINK("https://itrix.uz/product/128", "🔗 Купить продукт")</f>
        <v/>
      </c>
      <c r="H87" s="4" t="inlineStr">
        <is>
          <t>2-128-134</t>
        </is>
      </c>
    </row>
    <row r="88" ht="30" customHeight="1">
      <c r="A88" s="3" t="inlineStr">
        <is>
          <t>Процессоры</t>
        </is>
      </c>
      <c r="B88" s="3" t="inlineStr">
        <is>
          <t>Intel Xeon Gold 5317 (3.0GHz/12-core/150W)</t>
        </is>
      </c>
      <c r="C88" s="4" t="inlineStr"/>
      <c r="D88" s="4" t="n">
        <v>18491200</v>
      </c>
      <c r="E88" s="4" t="n">
        <v>16510000</v>
      </c>
      <c r="F88" s="4" t="inlineStr">
        <is>
          <t>Intel</t>
        </is>
      </c>
      <c r="G88" s="4">
        <f>HYPERLINK("https://itrix.uz/product/348", "🔗 Купить продукт")</f>
        <v/>
      </c>
      <c r="H88" s="4" t="inlineStr">
        <is>
          <t>2-348-350</t>
        </is>
      </c>
    </row>
    <row r="89" ht="30" customHeight="1">
      <c r="A89" s="3" t="inlineStr">
        <is>
          <t>Процессоры</t>
        </is>
      </c>
      <c r="B89" s="3" t="inlineStr">
        <is>
          <t>Intel Xeon-Gold 5220 (2.2GHz/18-core/125W)</t>
        </is>
      </c>
      <c r="C89" s="4" t="inlineStr"/>
      <c r="D89" s="4" t="n">
        <v>5066880</v>
      </c>
      <c r="E89" s="4" t="n">
        <v>4524000</v>
      </c>
      <c r="F89" s="4" t="inlineStr">
        <is>
          <t>Intel</t>
        </is>
      </c>
      <c r="G89" s="4">
        <f>HYPERLINK("https://itrix.uz/product/345", "🔗 Купить продукт")</f>
        <v/>
      </c>
      <c r="H89" s="4" t="inlineStr">
        <is>
          <t>2-345-347</t>
        </is>
      </c>
    </row>
    <row r="90" ht="30" customHeight="1">
      <c r="A90" s="3" t="inlineStr">
        <is>
          <t>Аксессуары</t>
        </is>
      </c>
      <c r="B90" s="3" t="inlineStr">
        <is>
          <t>HBA Адаптер HPE SN1200E 16G 2-port FC HBA</t>
        </is>
      </c>
      <c r="C90" s="4" t="inlineStr"/>
      <c r="D90" s="4" t="n">
        <v>11910080</v>
      </c>
      <c r="E90" s="4" t="n">
        <v>10634000</v>
      </c>
      <c r="F90" s="4" t="inlineStr">
        <is>
          <t>HPE</t>
        </is>
      </c>
      <c r="G90" s="4">
        <f>HYPERLINK("https://itrix.uz/product/124", "🔗 Купить продукт")</f>
        <v/>
      </c>
      <c r="H90" s="4" t="inlineStr">
        <is>
          <t>2-124-130</t>
        </is>
      </c>
    </row>
    <row r="91" ht="30" customHeight="1">
      <c r="A91" s="3" t="inlineStr">
        <is>
          <t>Процессоры</t>
        </is>
      </c>
      <c r="B91" s="3" t="inlineStr">
        <is>
          <t>Intel Xeon Silver 4310 (2.1GHz/12-Core/120W)</t>
        </is>
      </c>
      <c r="C91" s="4" t="inlineStr"/>
      <c r="D91" s="4" t="n">
        <v>8503040</v>
      </c>
      <c r="E91" s="4" t="n">
        <v>7592000</v>
      </c>
      <c r="F91" s="4" t="inlineStr">
        <is>
          <t>Intel</t>
        </is>
      </c>
      <c r="G91" s="4">
        <f>HYPERLINK("https://itrix.uz/product/340", "🔗 Купить продукт")</f>
        <v/>
      </c>
      <c r="H91" s="4" t="inlineStr">
        <is>
          <t>2-340-342</t>
        </is>
      </c>
    </row>
    <row r="92" ht="30" customHeight="1">
      <c r="A92" s="3" t="inlineStr">
        <is>
          <t>Процессоры</t>
        </is>
      </c>
      <c r="B92" s="3" t="inlineStr">
        <is>
          <t>Intel Xeon-Gold 5218R (2.1GHz/20-core/125W)</t>
        </is>
      </c>
      <c r="C92" s="4" t="inlineStr"/>
      <c r="D92" s="4" t="n">
        <v>12608960</v>
      </c>
      <c r="E92" s="4" t="n">
        <v>11258000</v>
      </c>
      <c r="F92" s="4" t="inlineStr">
        <is>
          <t>Intel</t>
        </is>
      </c>
      <c r="G92" s="4">
        <f>HYPERLINK("https://itrix.uz/product/344", "🔗 Купить продукт")</f>
        <v/>
      </c>
      <c r="H92" s="4" t="inlineStr">
        <is>
          <t>2-344-346</t>
        </is>
      </c>
    </row>
    <row r="93" ht="30" customHeight="1">
      <c r="A93" s="3" t="inlineStr">
        <is>
          <t>Процессоры</t>
        </is>
      </c>
      <c r="B93" s="3" t="inlineStr">
        <is>
          <t>Intel Xeon Silver 4316 (2.3GHz/20-core/150W)</t>
        </is>
      </c>
      <c r="C93" s="4" t="inlineStr"/>
      <c r="D93" s="4" t="n">
        <v>18345600</v>
      </c>
      <c r="E93" s="4" t="n">
        <v>16380000</v>
      </c>
      <c r="F93" s="4" t="inlineStr">
        <is>
          <t>Intel</t>
        </is>
      </c>
      <c r="G93" s="4">
        <f>HYPERLINK("https://itrix.uz/product/342", "🔗 Купить продукт")</f>
        <v/>
      </c>
      <c r="H93" s="4" t="inlineStr">
        <is>
          <t>2-342-344</t>
        </is>
      </c>
    </row>
    <row r="94" ht="30" customHeight="1">
      <c r="A94" s="3" t="inlineStr">
        <is>
          <t>Жёсткие диски SSD</t>
        </is>
      </c>
      <c r="B94" s="3" t="inlineStr">
        <is>
          <t>SSD Накопитель HPE 1.92TB / SAS / MU / SSD</t>
        </is>
      </c>
      <c r="C94" s="4" t="inlineStr"/>
      <c r="D94" s="4" t="n">
        <v>18913440</v>
      </c>
      <c r="E94" s="4" t="n">
        <v>16887000</v>
      </c>
      <c r="F94" s="4" t="inlineStr">
        <is>
          <t>HPE</t>
        </is>
      </c>
      <c r="G94" s="4">
        <f>HYPERLINK("https://itrix.uz/product/65", "🔗 Купить продукт")</f>
        <v/>
      </c>
      <c r="H94" s="4" t="inlineStr">
        <is>
          <t>2-65-71</t>
        </is>
      </c>
    </row>
    <row r="95" ht="30" customHeight="1">
      <c r="A95" s="3" t="inlineStr">
        <is>
          <t>Процессоры</t>
        </is>
      </c>
      <c r="B95" s="3" t="inlineStr">
        <is>
          <t>Intel Xeon-Silver 4214 (2.2GHz/12-core/85W)</t>
        </is>
      </c>
      <c r="C95" s="4" t="inlineStr"/>
      <c r="D95" s="4" t="n">
        <v>2839200</v>
      </c>
      <c r="E95" s="4" t="n">
        <v>2535000</v>
      </c>
      <c r="F95" s="4" t="inlineStr">
        <is>
          <t>Intel</t>
        </is>
      </c>
      <c r="G95" s="4">
        <f>HYPERLINK("https://itrix.uz/product/337", "🔗 Купить продукт")</f>
        <v/>
      </c>
      <c r="H95" s="4" t="inlineStr">
        <is>
          <t>2-337-339</t>
        </is>
      </c>
    </row>
    <row r="96" ht="30" customHeight="1">
      <c r="A96" s="3" t="inlineStr">
        <is>
          <t>Аксессуары</t>
        </is>
      </c>
      <c r="B96" s="3" t="inlineStr">
        <is>
          <t>Модуль вентиляторов HPE DL380 G10 Plus Max High Performance Fan</t>
        </is>
      </c>
      <c r="C96" s="4" t="inlineStr"/>
      <c r="D96" s="4" t="n">
        <v>1048320</v>
      </c>
      <c r="E96" s="4" t="n">
        <v>936000</v>
      </c>
      <c r="F96" s="4" t="inlineStr">
        <is>
          <t>HPE</t>
        </is>
      </c>
      <c r="G96" s="4">
        <f>HYPERLINK("https://itrix.uz/product/127", "🔗 Купить продукт")</f>
        <v/>
      </c>
      <c r="H96" s="4" t="inlineStr">
        <is>
          <t>2-127-133</t>
        </is>
      </c>
    </row>
    <row r="97" ht="30" customHeight="1">
      <c r="A97" s="3" t="inlineStr">
        <is>
          <t>Процессоры</t>
        </is>
      </c>
      <c r="B97" s="3" t="inlineStr">
        <is>
          <t>Intel Xeon-Silver 4214R (2.4GHz/12-core/100W)</t>
        </is>
      </c>
      <c r="C97" s="4" t="inlineStr"/>
      <c r="D97" s="4" t="n">
        <v>9813440</v>
      </c>
      <c r="E97" s="4" t="n">
        <v>8762000</v>
      </c>
      <c r="F97" s="4" t="inlineStr">
        <is>
          <t>Intel</t>
        </is>
      </c>
      <c r="G97" s="4">
        <f>HYPERLINK("https://itrix.uz/product/338", "🔗 Купить продукт")</f>
        <v/>
      </c>
      <c r="H97" s="4" t="inlineStr">
        <is>
          <t>2-338-340</t>
        </is>
      </c>
    </row>
    <row r="98" ht="30" customHeight="1">
      <c r="A98" s="3" t="inlineStr">
        <is>
          <t>Жёсткие диски SSD</t>
        </is>
      </c>
      <c r="B98" s="3" t="inlineStr">
        <is>
          <t>SSD Накопитель SAMSUNG 3.84TB PM1643a / SAS / MU / SSD</t>
        </is>
      </c>
      <c r="C98" s="4" t="inlineStr"/>
      <c r="D98" s="4" t="n">
        <v>17603040</v>
      </c>
      <c r="E98" s="4" t="n">
        <v>15717000</v>
      </c>
      <c r="F98" s="4" t="inlineStr">
        <is>
          <t>Samsung</t>
        </is>
      </c>
      <c r="G98" s="4">
        <f>HYPERLINK("https://itrix.uz/product/68", "🔗 Купить продукт")</f>
        <v/>
      </c>
      <c r="H98" s="4" t="inlineStr">
        <is>
          <t>2-68-74</t>
        </is>
      </c>
    </row>
    <row r="99" ht="30" customHeight="1">
      <c r="A99" s="3" t="inlineStr">
        <is>
          <t>Процессоры</t>
        </is>
      </c>
      <c r="B99" s="3" t="inlineStr">
        <is>
          <t>Intel Xeon Gold 5315Y (3.2GHz/8-core/140W)</t>
        </is>
      </c>
      <c r="C99" s="4" t="inlineStr"/>
      <c r="D99" s="4" t="n">
        <v>20296640</v>
      </c>
      <c r="E99" s="4" t="n">
        <v>18122000</v>
      </c>
      <c r="F99" s="4" t="inlineStr">
        <is>
          <t>Intel</t>
        </is>
      </c>
      <c r="G99" s="4">
        <f>HYPERLINK("https://itrix.uz/product/347", "🔗 Купить продукт")</f>
        <v/>
      </c>
      <c r="H99" s="4" t="inlineStr">
        <is>
          <t>2-347-349</t>
        </is>
      </c>
    </row>
    <row r="100" ht="30" customHeight="1">
      <c r="A100" s="3" t="inlineStr">
        <is>
          <t>Аксессуары</t>
        </is>
      </c>
      <c r="B100" s="3" t="inlineStr">
        <is>
          <t>HBA Адаптер 16Gb FC Single Channel HBA PCI-E 3.0 P9D93A SFP+ (SN1100Q)</t>
        </is>
      </c>
      <c r="C100" s="4" t="inlineStr"/>
      <c r="D100" s="4" t="n">
        <v>8008000</v>
      </c>
      <c r="E100" s="4" t="n">
        <v>7150000</v>
      </c>
      <c r="F100" s="4" t="inlineStr">
        <is>
          <t>HPE</t>
        </is>
      </c>
      <c r="G100" s="4">
        <f>HYPERLINK("https://itrix.uz/product/129", "🔗 Купить продукт")</f>
        <v/>
      </c>
      <c r="H100" s="4" t="inlineStr">
        <is>
          <t>2-129-135</t>
        </is>
      </c>
    </row>
    <row r="101" ht="30" customHeight="1">
      <c r="A101" s="3" t="inlineStr">
        <is>
          <t>Аксессуары</t>
        </is>
      </c>
      <c r="B101" s="3" t="inlineStr">
        <is>
          <t>Сетевой адаптер HPE Mellanox MCX631102AS-ADAT Ethernet 10/25Gb 2-port SFP</t>
        </is>
      </c>
      <c r="C101" s="4" t="inlineStr"/>
      <c r="D101" s="4" t="n">
        <v>7454720</v>
      </c>
      <c r="E101" s="4" t="n">
        <v>6656000</v>
      </c>
      <c r="F101" s="4" t="inlineStr">
        <is>
          <t>HPE</t>
        </is>
      </c>
      <c r="G101" s="4">
        <f>HYPERLINK("https://itrix.uz/product/136", "🔗 Купить продукт")</f>
        <v/>
      </c>
      <c r="H101" s="4" t="inlineStr">
        <is>
          <t>2-136-142</t>
        </is>
      </c>
    </row>
    <row r="102" ht="30" customHeight="1">
      <c r="A102" s="3" t="inlineStr">
        <is>
          <t>Жёсткие диски SSD</t>
        </is>
      </c>
      <c r="B102" s="3" t="inlineStr">
        <is>
          <t>SSD Накопитель DELL 480GB / SATA / RI / SSD</t>
        </is>
      </c>
      <c r="C102" s="4" t="inlineStr"/>
      <c r="D102" s="4" t="n">
        <v>3494400</v>
      </c>
      <c r="E102" s="4" t="n">
        <v>3120000</v>
      </c>
      <c r="F102" s="4" t="inlineStr">
        <is>
          <t>Dell</t>
        </is>
      </c>
      <c r="G102" s="4">
        <f>HYPERLINK("https://itrix.uz/product/53", "🔗 Купить продукт")</f>
        <v/>
      </c>
      <c r="H102" s="4" t="inlineStr">
        <is>
          <t>2-53-59</t>
        </is>
      </c>
    </row>
    <row r="103" ht="30" customHeight="1">
      <c r="A103" s="3" t="inlineStr">
        <is>
          <t>Жёсткие диски SSD</t>
        </is>
      </c>
      <c r="B103" s="3" t="inlineStr">
        <is>
          <t>SSD Накопитель DELL 1.92TB / SATA / RI / SSD</t>
        </is>
      </c>
      <c r="C103" s="4" t="inlineStr"/>
      <c r="D103" s="4" t="n">
        <v>11910080</v>
      </c>
      <c r="E103" s="4" t="n">
        <v>10634000</v>
      </c>
      <c r="F103" s="4" t="inlineStr">
        <is>
          <t>Dell</t>
        </is>
      </c>
      <c r="G103" s="4">
        <f>HYPERLINK("https://itrix.uz/product/54", "🔗 Купить продукт")</f>
        <v/>
      </c>
      <c r="H103" s="4" t="inlineStr">
        <is>
          <t>2-54-60</t>
        </is>
      </c>
    </row>
    <row r="104" ht="30" customHeight="1">
      <c r="A104" s="3" t="inlineStr">
        <is>
          <t>Оперативная память (RAM)</t>
        </is>
      </c>
      <c r="B104" s="3" t="inlineStr">
        <is>
          <t>Операвтивная память HPE 16GB DDR4-2666Mhz 2666V-R SMART Kit</t>
        </is>
      </c>
      <c r="C104" s="4" t="inlineStr"/>
      <c r="D104" s="4" t="n">
        <v>1747200</v>
      </c>
      <c r="E104" s="4" t="n">
        <v>1560000</v>
      </c>
      <c r="F104" s="4" t="inlineStr">
        <is>
          <t>HPE</t>
        </is>
      </c>
      <c r="G104" s="4">
        <f>HYPERLINK("https://itrix.uz/product/86", "🔗 Купить продукт")</f>
        <v/>
      </c>
      <c r="H104" s="4" t="inlineStr">
        <is>
          <t>2-86-92</t>
        </is>
      </c>
    </row>
    <row r="105" ht="30" customHeight="1">
      <c r="A105" s="3" t="inlineStr">
        <is>
          <t>Аксессуары</t>
        </is>
      </c>
      <c r="B105" s="3" t="inlineStr">
        <is>
          <t>Сетевая карта HPE 544+QSFP 10/40G 2-port PCIe</t>
        </is>
      </c>
      <c r="C105" s="4" t="inlineStr"/>
      <c r="D105" s="4" t="n">
        <v>4207840</v>
      </c>
      <c r="E105" s="4" t="n">
        <v>3757000</v>
      </c>
      <c r="F105" s="4" t="inlineStr">
        <is>
          <t>HPE</t>
        </is>
      </c>
      <c r="G105" s="4">
        <f>HYPERLINK("https://itrix.uz/product/99", "🔗 Купить продукт")</f>
        <v/>
      </c>
      <c r="H105" s="4" t="inlineStr">
        <is>
          <t>2-99-105</t>
        </is>
      </c>
    </row>
    <row r="106" ht="30" customHeight="1">
      <c r="A106" s="3" t="inlineStr">
        <is>
          <t>NVME</t>
        </is>
      </c>
      <c r="B106" s="3" t="inlineStr">
        <is>
          <t>1.6TB PCI-e NVMe / Mix Use / Express Flash / PCI-e 4.0</t>
        </is>
      </c>
      <c r="C106" s="4" t="inlineStr"/>
      <c r="D106" s="4" t="n">
        <v>10439520</v>
      </c>
      <c r="E106" s="4" t="n">
        <v>9321000</v>
      </c>
      <c r="F106" s="4" t="inlineStr">
        <is>
          <t>Dell</t>
        </is>
      </c>
      <c r="G106" s="4">
        <f>HYPERLINK("https://itrix.uz/product/96", "🔗 Купить продукт")</f>
        <v/>
      </c>
      <c r="H106" s="4" t="inlineStr">
        <is>
          <t>2-96-102</t>
        </is>
      </c>
    </row>
    <row r="107" ht="30" customHeight="1">
      <c r="A107" s="3" t="inlineStr">
        <is>
          <t>Процессоры</t>
        </is>
      </c>
      <c r="B107" s="3" t="inlineStr">
        <is>
          <t>Intel Xeon Gold 5318Y (2.1GHz/24-core/165W)</t>
        </is>
      </c>
      <c r="C107" s="4" t="inlineStr"/>
      <c r="D107" s="4" t="n">
        <v>19685120</v>
      </c>
      <c r="E107" s="4" t="n">
        <v>17576000</v>
      </c>
      <c r="F107" s="4" t="inlineStr">
        <is>
          <t>Intel</t>
        </is>
      </c>
      <c r="G107" s="4">
        <f>HYPERLINK("https://itrix.uz/product/349", "🔗 Купить продукт")</f>
        <v/>
      </c>
      <c r="H107" s="4" t="inlineStr">
        <is>
          <t>2-349-351</t>
        </is>
      </c>
    </row>
    <row r="108" ht="30" customHeight="1">
      <c r="A108" s="3" t="inlineStr">
        <is>
          <t>Процессоры</t>
        </is>
      </c>
      <c r="B108" s="3" t="inlineStr">
        <is>
          <t>Intel Xeon-Silver 4208 (2.1GHz/8-core/85W)</t>
        </is>
      </c>
      <c r="C108" s="4" t="inlineStr"/>
      <c r="D108" s="4" t="n">
        <v>5603270</v>
      </c>
      <c r="E108" s="4" t="n">
        <v>5002920</v>
      </c>
      <c r="F108" s="4" t="inlineStr">
        <is>
          <t>Intel</t>
        </is>
      </c>
      <c r="G108" s="4">
        <f>HYPERLINK("https://itrix.uz/product/334", "🔗 Купить продукт")</f>
        <v/>
      </c>
      <c r="H108" s="4" t="inlineStr">
        <is>
          <t>2-334-336</t>
        </is>
      </c>
    </row>
    <row r="109" ht="30" customHeight="1">
      <c r="A109" s="3" t="inlineStr">
        <is>
          <t>Процессоры</t>
        </is>
      </c>
      <c r="B109" s="3" t="inlineStr">
        <is>
          <t>Intel Xeon-Silver 4215R (3.2GHz/8-core/130W)</t>
        </is>
      </c>
      <c r="C109" s="4" t="inlineStr"/>
      <c r="D109" s="4" t="n">
        <v>13424320</v>
      </c>
      <c r="E109" s="4" t="n">
        <v>11986000</v>
      </c>
      <c r="F109" s="4" t="inlineStr">
        <is>
          <t>Intel</t>
        </is>
      </c>
      <c r="G109" s="4">
        <f>HYPERLINK("https://itrix.uz/product/339", "🔗 Купить продукт")</f>
        <v/>
      </c>
      <c r="H109" s="4" t="inlineStr">
        <is>
          <t>2-339-341</t>
        </is>
      </c>
    </row>
    <row r="110" ht="30" customHeight="1">
      <c r="A110" s="3" t="inlineStr">
        <is>
          <t>Жёсткие диски SSD</t>
        </is>
      </c>
      <c r="B110" s="3" t="inlineStr">
        <is>
          <t>SSD Накопитель DELL 1.92TB / SAS / MU / SSD</t>
        </is>
      </c>
      <c r="C110" s="4" t="inlineStr"/>
      <c r="D110" s="4" t="n">
        <v>18214560</v>
      </c>
      <c r="E110" s="4" t="n">
        <v>16263000</v>
      </c>
      <c r="F110" s="4" t="inlineStr">
        <is>
          <t>Dell</t>
        </is>
      </c>
      <c r="G110" s="4">
        <f>HYPERLINK("https://itrix.uz/product/66", "🔗 Купить продукт")</f>
        <v/>
      </c>
      <c r="H110" s="4" t="inlineStr">
        <is>
          <t>2-66-72</t>
        </is>
      </c>
    </row>
    <row r="111" ht="30" customHeight="1">
      <c r="A111" s="3" t="inlineStr">
        <is>
          <t>Оперативная память (RAM)</t>
        </is>
      </c>
      <c r="B111" s="3" t="inlineStr">
        <is>
          <t>Оперативная память Samsung 16GB DDR4-2666MHz 2666V</t>
        </is>
      </c>
      <c r="C111" s="4" t="inlineStr"/>
      <c r="D111" s="4" t="n">
        <v>1397760</v>
      </c>
      <c r="E111" s="4" t="n">
        <v>1248000</v>
      </c>
      <c r="F111" s="4" t="inlineStr">
        <is>
          <t>Samsung</t>
        </is>
      </c>
      <c r="G111" s="4">
        <f>HYPERLINK("https://itrix.uz/product/77", "🔗 Купить продукт")</f>
        <v/>
      </c>
      <c r="H111" s="4" t="inlineStr">
        <is>
          <t>2-77-83</t>
        </is>
      </c>
    </row>
    <row r="112" ht="30" customHeight="1">
      <c r="A112" s="3" t="inlineStr">
        <is>
          <t>Оперативная память (RAM)</t>
        </is>
      </c>
      <c r="B112" s="3" t="inlineStr">
        <is>
          <t>Оперативная память Samsung 32GB DDR4-3200MHz UDIMM</t>
        </is>
      </c>
      <c r="C112" s="4" t="inlineStr"/>
      <c r="D112" s="4" t="n">
        <v>2810080</v>
      </c>
      <c r="E112" s="4" t="n">
        <v>2509000</v>
      </c>
      <c r="F112" s="4" t="inlineStr">
        <is>
          <t>Samsung</t>
        </is>
      </c>
      <c r="G112" s="4">
        <f>HYPERLINK("https://itrix.uz/product/78", "🔗 Купить продукт")</f>
        <v/>
      </c>
      <c r="H112" s="4" t="inlineStr">
        <is>
          <t>2-78-84</t>
        </is>
      </c>
    </row>
    <row r="113" ht="30" customHeight="1">
      <c r="A113" s="3" t="inlineStr">
        <is>
          <t>Оперативная память (RAM)</t>
        </is>
      </c>
      <c r="B113" s="3" t="inlineStr">
        <is>
          <t>Оперативная память HPE 16GB DDR4-3200MHz 3200AA</t>
        </is>
      </c>
      <c r="C113" s="4" t="inlineStr"/>
      <c r="D113" s="4" t="n">
        <v>1121120</v>
      </c>
      <c r="E113" s="4" t="n">
        <v>1001000</v>
      </c>
      <c r="F113" s="4" t="inlineStr">
        <is>
          <t>HPE</t>
        </is>
      </c>
      <c r="G113" s="4">
        <f>HYPERLINK("https://itrix.uz/product/93", "🔗 Купить продукт")</f>
        <v/>
      </c>
      <c r="H113" s="4" t="inlineStr">
        <is>
          <t>2-93-99</t>
        </is>
      </c>
    </row>
    <row r="114" ht="30" customHeight="1">
      <c r="A114" s="3" t="inlineStr">
        <is>
          <t>Жёсткие диски SSD</t>
        </is>
      </c>
      <c r="B114" s="3" t="inlineStr">
        <is>
          <t>SSD Накопитель DELL 960GB / SAS / RI / SSD</t>
        </is>
      </c>
      <c r="C114" s="4" t="inlineStr"/>
      <c r="D114" s="4" t="n">
        <v>7003360</v>
      </c>
      <c r="E114" s="4" t="n">
        <v>6253000</v>
      </c>
      <c r="F114" s="4" t="inlineStr">
        <is>
          <t>Dell</t>
        </is>
      </c>
      <c r="G114" s="4">
        <f>HYPERLINK("https://itrix.uz/product/72", "🔗 Купить продукт")</f>
        <v/>
      </c>
      <c r="H114" s="4" t="inlineStr">
        <is>
          <t>2-72-78</t>
        </is>
      </c>
    </row>
    <row r="115" ht="30" customHeight="1">
      <c r="A115" s="3" t="inlineStr">
        <is>
          <t>Жёсткие диски SSD</t>
        </is>
      </c>
      <c r="B115" s="3" t="inlineStr">
        <is>
          <t>SSD Накопитель HPE 240GB / SATA / RI / SSD</t>
        </is>
      </c>
      <c r="C115" s="4" t="inlineStr"/>
      <c r="D115" s="4" t="n">
        <v>3508960</v>
      </c>
      <c r="E115" s="4" t="n">
        <v>3133000</v>
      </c>
      <c r="F115" s="4" t="inlineStr">
        <is>
          <t>HPE</t>
        </is>
      </c>
      <c r="G115" s="4">
        <f>HYPERLINK("https://itrix.uz/product/57", "🔗 Купить продукт")</f>
        <v/>
      </c>
      <c r="H115" s="4" t="inlineStr">
        <is>
          <t>2-57-63</t>
        </is>
      </c>
    </row>
    <row r="116" ht="30" customHeight="1">
      <c r="A116" s="3" t="inlineStr">
        <is>
          <t>Оперативная память (RAM)</t>
        </is>
      </c>
      <c r="B116" s="3" t="inlineStr">
        <is>
          <t>Оперативная память Samsung 16GB DDR4-2666MHz 2666V-EE1-11 UDIMM</t>
        </is>
      </c>
      <c r="C116" s="4" t="inlineStr"/>
      <c r="D116" s="4" t="n">
        <v>1412320</v>
      </c>
      <c r="E116" s="4" t="n">
        <v>1261000</v>
      </c>
      <c r="F116" s="4" t="inlineStr">
        <is>
          <t>Samsung</t>
        </is>
      </c>
      <c r="G116" s="4">
        <f>HYPERLINK("https://itrix.uz/product/83", "🔗 Купить продукт")</f>
        <v/>
      </c>
      <c r="H116" s="4" t="inlineStr">
        <is>
          <t>2-83-89</t>
        </is>
      </c>
    </row>
    <row r="117" ht="30" customHeight="1">
      <c r="A117" s="3" t="inlineStr">
        <is>
          <t>Оперативная память (RAM)</t>
        </is>
      </c>
      <c r="B117" s="3" t="inlineStr">
        <is>
          <t>Оперативная память HPE 32GB DDR4-3200Mhz 3200AA-RB2-12</t>
        </is>
      </c>
      <c r="C117" s="4" t="inlineStr"/>
      <c r="D117" s="4" t="n">
        <v>1645280</v>
      </c>
      <c r="E117" s="4" t="n">
        <v>1469000</v>
      </c>
      <c r="F117" s="4" t="inlineStr">
        <is>
          <t>HPE</t>
        </is>
      </c>
      <c r="G117" s="4">
        <f>HYPERLINK("https://itrix.uz/product/88", "🔗 Купить продукт")</f>
        <v/>
      </c>
      <c r="H117" s="4" t="inlineStr">
        <is>
          <t>2-88-94</t>
        </is>
      </c>
    </row>
    <row r="118" ht="30" customHeight="1">
      <c r="A118" s="3" t="inlineStr">
        <is>
          <t>Оперативная память (RAM)</t>
        </is>
      </c>
      <c r="B118" s="3" t="inlineStr">
        <is>
          <t>Оперативная память Samsung 64GB DDR4-2666MHz 2666V-LD2-12-DB1 LRDIMM</t>
        </is>
      </c>
      <c r="C118" s="4" t="inlineStr"/>
      <c r="D118" s="4" t="n">
        <v>1368640</v>
      </c>
      <c r="E118" s="4" t="n">
        <v>1222000</v>
      </c>
      <c r="F118" s="4" t="inlineStr">
        <is>
          <t>Samsung</t>
        </is>
      </c>
      <c r="G118" s="4">
        <f>HYPERLINK("https://itrix.uz/product/81", "🔗 Купить продукт")</f>
        <v/>
      </c>
      <c r="H118" s="4" t="inlineStr">
        <is>
          <t>2-81-87</t>
        </is>
      </c>
    </row>
    <row r="119" ht="30" customHeight="1">
      <c r="A119" s="3" t="inlineStr">
        <is>
          <t>Жёсткие диски SSD</t>
        </is>
      </c>
      <c r="B119" s="3" t="inlineStr">
        <is>
          <t>SSD Накопитель HPE 480GB / SATA / RI / SSD</t>
        </is>
      </c>
      <c r="C119" s="4" t="inlineStr"/>
      <c r="D119" s="4" t="n">
        <v>5605600</v>
      </c>
      <c r="E119" s="4" t="n">
        <v>5005000</v>
      </c>
      <c r="F119" s="4" t="inlineStr">
        <is>
          <t>HPE</t>
        </is>
      </c>
      <c r="G119" s="4">
        <f>HYPERLINK("https://itrix.uz/product/55", "🔗 Купить продукт")</f>
        <v/>
      </c>
      <c r="H119" s="4" t="inlineStr">
        <is>
          <t>2-55-61</t>
        </is>
      </c>
    </row>
    <row r="120" ht="30" customHeight="1">
      <c r="A120" s="3" t="inlineStr">
        <is>
          <t>Оперативная память (RAM)</t>
        </is>
      </c>
      <c r="B120" s="3" t="inlineStr">
        <is>
          <t>Оперативная память Samsung 8GB DDR4-2400MHz 2400T-ED2-11 UDIMM</t>
        </is>
      </c>
      <c r="C120" s="4" t="inlineStr"/>
      <c r="D120" s="4" t="n">
        <v>276640</v>
      </c>
      <c r="E120" s="4" t="n">
        <v>247000</v>
      </c>
      <c r="F120" s="4" t="inlineStr">
        <is>
          <t>Samsung</t>
        </is>
      </c>
      <c r="G120" s="4">
        <f>HYPERLINK("https://itrix.uz/product/76", "🔗 Купить продукт")</f>
        <v/>
      </c>
      <c r="H120" s="4" t="inlineStr">
        <is>
          <t>2-76-82</t>
        </is>
      </c>
    </row>
    <row r="121" ht="30" customHeight="1">
      <c r="A121" s="3" t="inlineStr">
        <is>
          <t>Оперативная память (RAM)</t>
        </is>
      </c>
      <c r="B121" s="3" t="inlineStr">
        <is>
          <t>Оперативная память Samsung / SK hynix 16GB DDR4-2933MHz</t>
        </is>
      </c>
      <c r="C121" s="4" t="inlineStr"/>
      <c r="D121" s="4" t="n">
        <v>1397760</v>
      </c>
      <c r="E121" s="4" t="n">
        <v>1248000</v>
      </c>
      <c r="F121" s="4" t="inlineStr">
        <is>
          <t>Samsung</t>
        </is>
      </c>
      <c r="G121" s="4">
        <f>HYPERLINK("https://itrix.uz/product/84", "🔗 Купить продукт")</f>
        <v/>
      </c>
      <c r="H121" s="4" t="inlineStr">
        <is>
          <t>2-84-90</t>
        </is>
      </c>
    </row>
    <row r="122" ht="30" customHeight="1">
      <c r="A122" s="3" t="inlineStr">
        <is>
          <t>Аксессуары</t>
        </is>
      </c>
      <c r="B122" s="3" t="inlineStr">
        <is>
          <t xml:space="preserve">Сетевой адаптер HPE Broadcom BCM57416 Ethernet 10Gb 2-port BASE-T </t>
        </is>
      </c>
      <c r="C122" s="4" t="inlineStr"/>
      <c r="D122" s="4" t="n">
        <v>5227040</v>
      </c>
      <c r="E122" s="4" t="n">
        <v>4667000</v>
      </c>
      <c r="F122" s="4" t="inlineStr">
        <is>
          <t>HPE</t>
        </is>
      </c>
      <c r="G122" s="4">
        <f>HYPERLINK("https://itrix.uz/product/134", "🔗 Купить продукт")</f>
        <v/>
      </c>
      <c r="H122" s="4" t="inlineStr">
        <is>
          <t>2-134-140</t>
        </is>
      </c>
    </row>
    <row r="123" ht="30" customHeight="1">
      <c r="A123" s="3" t="inlineStr">
        <is>
          <t>Жёсткие диски SSD</t>
        </is>
      </c>
      <c r="B123" s="3" t="inlineStr">
        <is>
          <t>SSD Накопитель HPE 480GB PM1633a / SAS / RI / SSD</t>
        </is>
      </c>
      <c r="C123" s="4" t="inlineStr"/>
      <c r="D123" s="4" t="n">
        <v>5605600</v>
      </c>
      <c r="E123" s="4" t="n">
        <v>5005000</v>
      </c>
      <c r="F123" s="4" t="inlineStr">
        <is>
          <t>HPE</t>
        </is>
      </c>
      <c r="G123" s="4">
        <f>HYPERLINK("https://itrix.uz/product/75", "🔗 Купить продукт")</f>
        <v/>
      </c>
      <c r="H123" s="4" t="inlineStr">
        <is>
          <t>2-75-81</t>
        </is>
      </c>
    </row>
    <row r="124" ht="30" customHeight="1">
      <c r="A124" s="3" t="inlineStr">
        <is>
          <t>Корпуса</t>
        </is>
      </c>
      <c r="B124" s="3" t="inlineStr">
        <is>
          <t>HPE Apollo 4510 Gen10 4U 60 LFF</t>
        </is>
      </c>
      <c r="C124" s="4" t="inlineStr"/>
      <c r="D124" s="4" t="n">
        <v>0</v>
      </c>
      <c r="E124" s="4" t="n">
        <v>0</v>
      </c>
      <c r="F124" s="4" t="inlineStr">
        <is>
          <t>HPE</t>
        </is>
      </c>
      <c r="G124" s="4">
        <f>HYPERLINK("https://itrix.uz/product/445", "🔗 Купить продукт")</f>
        <v/>
      </c>
      <c r="H124" s="4" t="inlineStr">
        <is>
          <t>2-445-429</t>
        </is>
      </c>
    </row>
    <row r="125" ht="30" customHeight="1">
      <c r="A125" s="3" t="inlineStr">
        <is>
          <t>Оперативная память (RAM)</t>
        </is>
      </c>
      <c r="B125" s="3" t="inlineStr">
        <is>
          <t>Оперативная память HPE 8GB DDR4-3200Mhz 3200AA-E STND Kit</t>
        </is>
      </c>
      <c r="C125" s="4" t="inlineStr"/>
      <c r="D125" s="4" t="n">
        <v>1121120</v>
      </c>
      <c r="E125" s="4" t="n">
        <v>1001000</v>
      </c>
      <c r="F125" s="4" t="inlineStr">
        <is>
          <t>HPE</t>
        </is>
      </c>
      <c r="G125" s="4">
        <f>HYPERLINK("https://itrix.uz/product/87", "🔗 Купить продукт")</f>
        <v/>
      </c>
      <c r="H125" s="4" t="inlineStr">
        <is>
          <t>2-87-93</t>
        </is>
      </c>
    </row>
    <row r="126" ht="30" customHeight="1">
      <c r="A126" s="3" t="inlineStr">
        <is>
          <t>Оперативная память (RAM)</t>
        </is>
      </c>
      <c r="B126" s="3" t="inlineStr">
        <is>
          <t>Оперативная память Samsung 32GB DDR4-3200Mhz 3200AA-RB2-12</t>
        </is>
      </c>
      <c r="C126" s="4" t="inlineStr"/>
      <c r="D126" s="4" t="n">
        <v>2795520</v>
      </c>
      <c r="E126" s="4" t="n">
        <v>2496000</v>
      </c>
      <c r="F126" s="4" t="inlineStr">
        <is>
          <t>Samsung</t>
        </is>
      </c>
      <c r="G126" s="4">
        <f>HYPERLINK("https://itrix.uz/product/85", "🔗 Купить продукт")</f>
        <v/>
      </c>
      <c r="H126" s="4" t="inlineStr">
        <is>
          <t>2-85-91</t>
        </is>
      </c>
    </row>
    <row r="127" ht="30" customHeight="1">
      <c r="A127" s="3" t="inlineStr">
        <is>
          <t>Аксессуары</t>
        </is>
      </c>
      <c r="B127" s="3" t="inlineStr">
        <is>
          <t>Набор для крепления в стойку Synology RKS1317</t>
        </is>
      </c>
      <c r="C127" s="4" t="inlineStr"/>
      <c r="D127" s="4" t="n">
        <v>1587040</v>
      </c>
      <c r="E127" s="4" t="n">
        <v>1417000</v>
      </c>
      <c r="F127" s="4" t="inlineStr">
        <is>
          <t>Synology</t>
        </is>
      </c>
      <c r="G127" s="4">
        <f>HYPERLINK("https://itrix.uz/product/281", "🔗 Купить продукт")</f>
        <v/>
      </c>
      <c r="H127" s="4" t="inlineStr">
        <is>
          <t>2-281-283</t>
        </is>
      </c>
    </row>
    <row r="128" ht="30" customHeight="1">
      <c r="A128" s="3" t="inlineStr">
        <is>
          <t>Оперативная память (RAM)</t>
        </is>
      </c>
      <c r="B128" s="3" t="inlineStr">
        <is>
          <t xml:space="preserve">Оперативная память HPE 32GB DDR4-2666Mhz </t>
        </is>
      </c>
      <c r="C128" s="4" t="inlineStr"/>
      <c r="D128" s="4" t="n">
        <v>2038400</v>
      </c>
      <c r="E128" s="4" t="n">
        <v>1820000</v>
      </c>
      <c r="F128" s="4" t="inlineStr">
        <is>
          <t>HPE</t>
        </is>
      </c>
      <c r="G128" s="4">
        <f>HYPERLINK("https://itrix.uz/product/89", "🔗 Купить продукт")</f>
        <v/>
      </c>
      <c r="H128" s="4" t="inlineStr">
        <is>
          <t>2-89-95</t>
        </is>
      </c>
    </row>
    <row r="129" ht="30" customHeight="1">
      <c r="A129" s="3" t="inlineStr">
        <is>
          <t>Оперативная память (RAM)</t>
        </is>
      </c>
      <c r="B129" s="3" t="inlineStr">
        <is>
          <t>Оперативная память HPE 32GB DDR4- 2400MHz 2400T-RB1-11</t>
        </is>
      </c>
      <c r="C129" s="4" t="inlineStr"/>
      <c r="D129" s="4" t="n">
        <v>1747200</v>
      </c>
      <c r="E129" s="4" t="n">
        <v>1560000</v>
      </c>
      <c r="F129" s="4" t="inlineStr">
        <is>
          <t>HPE</t>
        </is>
      </c>
      <c r="G129" s="4">
        <f>HYPERLINK("https://itrix.uz/product/90", "🔗 Купить продукт")</f>
        <v/>
      </c>
      <c r="H129" s="4" t="inlineStr">
        <is>
          <t>2-90-96</t>
        </is>
      </c>
    </row>
    <row r="130" ht="30" customHeight="1">
      <c r="A130" s="3" t="inlineStr">
        <is>
          <t>Оперативная память (RAM)</t>
        </is>
      </c>
      <c r="B130" s="3" t="inlineStr">
        <is>
          <t>Оперативная память HPE 64GB DDR4-3200MHz 3200AA-RB2</t>
        </is>
      </c>
      <c r="C130" s="4" t="inlineStr"/>
      <c r="D130" s="4" t="n">
        <v>2693600</v>
      </c>
      <c r="E130" s="4" t="n">
        <v>2405000</v>
      </c>
      <c r="F130" s="4" t="inlineStr">
        <is>
          <t>HPE</t>
        </is>
      </c>
      <c r="G130" s="4">
        <f>HYPERLINK("https://itrix.uz/product/94", "🔗 Купить продукт")</f>
        <v/>
      </c>
      <c r="H130" s="4" t="inlineStr">
        <is>
          <t>2-94-100</t>
        </is>
      </c>
    </row>
    <row r="131" ht="30" customHeight="1">
      <c r="A131" s="3" t="inlineStr">
        <is>
          <t>Аксессуары</t>
        </is>
      </c>
      <c r="B131" s="3" t="inlineStr">
        <is>
          <t>Контроллер удаленного доступа DELL iDRAC9 Enterprise</t>
        </is>
      </c>
      <c r="C131" s="4" t="inlineStr"/>
      <c r="D131" s="4" t="n">
        <v>305760</v>
      </c>
      <c r="E131" s="4" t="n">
        <v>273000</v>
      </c>
      <c r="F131" s="4" t="inlineStr">
        <is>
          <t>Dell</t>
        </is>
      </c>
      <c r="G131" s="4">
        <f>HYPERLINK("https://itrix.uz/product/137", "🔗 Купить продукт")</f>
        <v/>
      </c>
      <c r="H131" s="4" t="inlineStr">
        <is>
          <t>2-137-143</t>
        </is>
      </c>
    </row>
    <row r="132" ht="30" customHeight="1">
      <c r="A132" s="3" t="inlineStr">
        <is>
          <t>Аксессуары</t>
        </is>
      </c>
      <c r="B132" s="3" t="inlineStr">
        <is>
          <t>Сетевой адаптер HPE Intel l350-T4 ethernet 1GB 4-port BASE-T</t>
        </is>
      </c>
      <c r="C132" s="4" t="inlineStr"/>
      <c r="D132" s="4" t="n">
        <v>596960</v>
      </c>
      <c r="E132" s="4" t="n">
        <v>533000</v>
      </c>
      <c r="F132" s="4" t="inlineStr">
        <is>
          <t>HPE</t>
        </is>
      </c>
      <c r="G132" s="4">
        <f>HYPERLINK("https://itrix.uz/product/135", "🔗 Купить продукт")</f>
        <v/>
      </c>
      <c r="H132" s="4" t="inlineStr">
        <is>
          <t>2-135-141</t>
        </is>
      </c>
    </row>
    <row r="133" ht="30" customHeight="1">
      <c r="A133" s="3" t="inlineStr">
        <is>
          <t>Жёсткие диски SSD</t>
        </is>
      </c>
      <c r="B133" s="3" t="inlineStr">
        <is>
          <t>SSD Накопитель HPE 3.84TB / SAS / MU / SSD</t>
        </is>
      </c>
      <c r="C133" s="4" t="inlineStr"/>
      <c r="D133" s="4" t="n">
        <v>22422400</v>
      </c>
      <c r="E133" s="4" t="n">
        <v>20020000</v>
      </c>
      <c r="F133" s="4" t="inlineStr">
        <is>
          <t>HPE</t>
        </is>
      </c>
      <c r="G133" s="4">
        <f>HYPERLINK("https://itrix.uz/product/71", "🔗 Купить продукт")</f>
        <v/>
      </c>
      <c r="H133" s="4" t="inlineStr">
        <is>
          <t>2-71-77</t>
        </is>
      </c>
    </row>
    <row r="134" ht="30" customHeight="1">
      <c r="A134" s="3" t="inlineStr">
        <is>
          <t>RAID-контроллер</t>
        </is>
      </c>
      <c r="B134" s="3" t="inlineStr">
        <is>
          <t>RAID Контроллер HPE P816i-a SR (Int.) 4gb Cache 12G SAS PCIe (incl.96W Batt)</t>
        </is>
      </c>
      <c r="C134" s="4" t="inlineStr"/>
      <c r="D134" s="4" t="n">
        <v>7585760</v>
      </c>
      <c r="E134" s="4" t="n">
        <v>6773000</v>
      </c>
      <c r="F134" s="4" t="inlineStr">
        <is>
          <t>HPE</t>
        </is>
      </c>
      <c r="G134" s="4">
        <f>HYPERLINK("https://itrix.uz/product/148", "🔗 Купить продукт")</f>
        <v/>
      </c>
      <c r="H134" s="4" t="inlineStr">
        <is>
          <t>2-148-154</t>
        </is>
      </c>
    </row>
    <row r="135" ht="30" customHeight="1">
      <c r="A135" s="3" t="inlineStr">
        <is>
          <t>RAID-контроллер</t>
        </is>
      </c>
      <c r="B135" s="3" t="inlineStr">
        <is>
          <t>RAID Контроллер HPE DL38X Gen10 12Gb SAS Expander Card Kit with Cables</t>
        </is>
      </c>
      <c r="C135" s="4" t="inlineStr"/>
      <c r="D135" s="4" t="n">
        <v>8939840</v>
      </c>
      <c r="E135" s="4" t="n">
        <v>7982000</v>
      </c>
      <c r="F135" s="4" t="inlineStr">
        <is>
          <t>HPE</t>
        </is>
      </c>
      <c r="G135" s="4">
        <f>HYPERLINK("https://itrix.uz/product/149", "🔗 Купить продукт")</f>
        <v/>
      </c>
      <c r="H135" s="4" t="inlineStr">
        <is>
          <t>2-149-155</t>
        </is>
      </c>
    </row>
    <row r="136" ht="30" customHeight="1">
      <c r="A136" s="3" t="inlineStr">
        <is>
          <t>RAID-контроллер</t>
        </is>
      </c>
      <c r="B136" s="3" t="inlineStr">
        <is>
          <t>RAID Контроллер DELL PERC H745 4Gb RAID 12Gb/s</t>
        </is>
      </c>
      <c r="C136" s="4" t="inlineStr"/>
      <c r="D136" s="4" t="n">
        <v>7454720</v>
      </c>
      <c r="E136" s="4" t="n">
        <v>6656000</v>
      </c>
      <c r="F136" s="4" t="inlineStr">
        <is>
          <t>Dell</t>
        </is>
      </c>
      <c r="G136" s="4">
        <f>HYPERLINK("https://itrix.uz/product/152", "🔗 Купить продукт")</f>
        <v/>
      </c>
      <c r="H136" s="4" t="inlineStr">
        <is>
          <t>2-152-158</t>
        </is>
      </c>
    </row>
    <row r="137" ht="30" customHeight="1">
      <c r="A137" s="3" t="inlineStr">
        <is>
          <t>Аксессуары</t>
        </is>
      </c>
      <c r="B137" s="3" t="inlineStr">
        <is>
          <t>Радиатор ЦП Dell R750 High Performance CPU Heatsink</t>
        </is>
      </c>
      <c r="C137" s="4" t="inlineStr"/>
      <c r="D137" s="4" t="n">
        <v>1397760</v>
      </c>
      <c r="E137" s="4" t="n">
        <v>1248000</v>
      </c>
      <c r="F137" s="4" t="inlineStr">
        <is>
          <t>Dell</t>
        </is>
      </c>
      <c r="G137" s="4">
        <f>HYPERLINK("https://itrix.uz/product/100", "🔗 Купить продукт")</f>
        <v/>
      </c>
      <c r="H137" s="4" t="inlineStr">
        <is>
          <t>2-100-106</t>
        </is>
      </c>
    </row>
    <row r="138" ht="30" customHeight="1">
      <c r="A138" s="3" t="inlineStr">
        <is>
          <t>Процессоры</t>
        </is>
      </c>
      <c r="B138" s="3" t="inlineStr">
        <is>
          <t>Intel Xeon-Gold 6234 (3.3GHz/8-core/130W)</t>
        </is>
      </c>
      <c r="C138" s="4" t="inlineStr"/>
      <c r="D138" s="4" t="n">
        <v>5518240</v>
      </c>
      <c r="E138" s="4" t="n">
        <v>4927000</v>
      </c>
      <c r="F138" s="4" t="inlineStr">
        <is>
          <t>Intel</t>
        </is>
      </c>
      <c r="G138" s="4">
        <f>HYPERLINK("https://itrix.uz/product/352", "🔗 Купить продукт")</f>
        <v/>
      </c>
      <c r="H138" s="4" t="inlineStr">
        <is>
          <t>2-352-354</t>
        </is>
      </c>
    </row>
    <row r="139" ht="30" customHeight="1">
      <c r="A139" s="3" t="inlineStr">
        <is>
          <t>Аксессуары</t>
        </is>
      </c>
      <c r="B139" s="3" t="inlineStr">
        <is>
          <t>Сетевой адаптер HPE 331T 4x-1Gb 4-port PCIe</t>
        </is>
      </c>
      <c r="C139" s="4" t="inlineStr"/>
      <c r="D139" s="4" t="n">
        <v>2810080</v>
      </c>
      <c r="E139" s="4" t="n">
        <v>2509000</v>
      </c>
      <c r="F139" s="4" t="inlineStr">
        <is>
          <t>HPE</t>
        </is>
      </c>
      <c r="G139" s="4">
        <f>HYPERLINK("https://itrix.uz/product/121", "🔗 Купить продукт")</f>
        <v/>
      </c>
      <c r="H139" s="4" t="inlineStr">
        <is>
          <t>2-121-127</t>
        </is>
      </c>
    </row>
    <row r="140" ht="30" customHeight="1">
      <c r="A140" s="3" t="inlineStr">
        <is>
          <t>Процессоры</t>
        </is>
      </c>
      <c r="B140" s="3" t="inlineStr">
        <is>
          <t>Intel Xeon-Gold 5218 (2.3GHz/16-core/125W)</t>
        </is>
      </c>
      <c r="C140" s="4" t="inlineStr"/>
      <c r="D140" s="4" t="n">
        <v>10890880</v>
      </c>
      <c r="E140" s="4" t="n">
        <v>9724000</v>
      </c>
      <c r="F140" s="4" t="inlineStr">
        <is>
          <t>Intel</t>
        </is>
      </c>
      <c r="G140" s="4">
        <f>HYPERLINK("https://itrix.uz/product/343", "🔗 Купить продукт")</f>
        <v/>
      </c>
      <c r="H140" s="4" t="inlineStr">
        <is>
          <t>2-343-345</t>
        </is>
      </c>
    </row>
    <row r="141" ht="30" customHeight="1">
      <c r="A141" s="3" t="inlineStr">
        <is>
          <t>Процессоры</t>
        </is>
      </c>
      <c r="B141" s="3" t="inlineStr">
        <is>
          <t>Intel Xeon Silver 4314 (2.4GHz/16-core/135W)</t>
        </is>
      </c>
      <c r="C141" s="4" t="inlineStr"/>
      <c r="D141" s="4" t="n">
        <v>10512320</v>
      </c>
      <c r="E141" s="4" t="n">
        <v>9386000</v>
      </c>
      <c r="F141" s="4" t="inlineStr">
        <is>
          <t>Intel</t>
        </is>
      </c>
      <c r="G141" s="4">
        <f>HYPERLINK("https://itrix.uz/product/341", "🔗 Купить продукт")</f>
        <v/>
      </c>
      <c r="H141" s="4" t="inlineStr">
        <is>
          <t>2-341-343</t>
        </is>
      </c>
    </row>
    <row r="142" ht="30" customHeight="1">
      <c r="A142" s="3" t="inlineStr">
        <is>
          <t>Аксессуары</t>
        </is>
      </c>
      <c r="B142" s="3" t="inlineStr">
        <is>
          <t xml:space="preserve">Сетевой адаптер HPE Broadcom BCM57414 Ethernet 10/25Gb 2-port SFP28 </t>
        </is>
      </c>
      <c r="C142" s="4" t="inlineStr"/>
      <c r="D142" s="4" t="n">
        <v>5605600</v>
      </c>
      <c r="E142" s="4" t="n">
        <v>5005000</v>
      </c>
      <c r="F142" s="4" t="inlineStr">
        <is>
          <t>HPE</t>
        </is>
      </c>
      <c r="G142" s="4">
        <f>HYPERLINK("https://itrix.uz/product/133", "🔗 Купить продукт")</f>
        <v/>
      </c>
      <c r="H142" s="4" t="inlineStr">
        <is>
          <t>2-133-139</t>
        </is>
      </c>
    </row>
    <row r="143" ht="30" customHeight="1">
      <c r="A143" s="3" t="inlineStr">
        <is>
          <t>Аксессуары</t>
        </is>
      </c>
      <c r="B143" s="3" t="inlineStr">
        <is>
          <t>Модуль вентиляторов HPE DL380 G10 High Performance Fan</t>
        </is>
      </c>
      <c r="C143" s="4" t="inlineStr"/>
      <c r="D143" s="4" t="n">
        <v>698880</v>
      </c>
      <c r="E143" s="4" t="n">
        <v>624000</v>
      </c>
      <c r="F143" s="4" t="inlineStr">
        <is>
          <t>HPE</t>
        </is>
      </c>
      <c r="G143" s="4">
        <f>HYPERLINK("https://itrix.uz/product/108", "🔗 Купить продукт")</f>
        <v/>
      </c>
      <c r="H143" s="4" t="inlineStr">
        <is>
          <t>2-108-114</t>
        </is>
      </c>
    </row>
    <row r="144" ht="30" customHeight="1">
      <c r="A144" s="3" t="inlineStr">
        <is>
          <t>Аксессуары</t>
        </is>
      </c>
      <c r="B144" s="3" t="inlineStr">
        <is>
          <t>Салазки DELL 3.5" Caddy G15</t>
        </is>
      </c>
      <c r="C144" s="4" t="inlineStr"/>
      <c r="D144" s="4" t="n">
        <v>291200</v>
      </c>
      <c r="E144" s="4" t="n">
        <v>260000</v>
      </c>
      <c r="F144" s="4" t="inlineStr">
        <is>
          <t>Dell</t>
        </is>
      </c>
      <c r="G144" s="4">
        <f>HYPERLINK("https://itrix.uz/product/119", "🔗 Купить продукт")</f>
        <v/>
      </c>
      <c r="H144" s="4" t="inlineStr">
        <is>
          <t>2-119-125</t>
        </is>
      </c>
    </row>
    <row r="145" ht="30" customHeight="1">
      <c r="A145" s="3" t="inlineStr">
        <is>
          <t>Аксессуары</t>
        </is>
      </c>
      <c r="B145" s="3" t="inlineStr">
        <is>
          <t>Дисковая корзина HPE DL380 Gen10 Plus 8SFF NVMe Cage (1PORT)</t>
        </is>
      </c>
      <c r="C145" s="4" t="inlineStr"/>
      <c r="D145" s="4" t="n">
        <v>7250880</v>
      </c>
      <c r="E145" s="4" t="n">
        <v>6474000</v>
      </c>
      <c r="F145" s="4" t="inlineStr">
        <is>
          <t>HPE</t>
        </is>
      </c>
      <c r="G145" s="4">
        <f>HYPERLINK("https://itrix.uz/product/105", "🔗 Купить продукт")</f>
        <v/>
      </c>
      <c r="H145" s="4" t="inlineStr">
        <is>
          <t>2-105-111</t>
        </is>
      </c>
    </row>
    <row r="146" ht="30" customHeight="1">
      <c r="A146" s="3" t="inlineStr">
        <is>
          <t>Аксессуары</t>
        </is>
      </c>
      <c r="B146" s="3" t="inlineStr">
        <is>
          <t>Сетевая карта  Ethernet Synology 10GbE BASE-T</t>
        </is>
      </c>
      <c r="C146" s="4" t="inlineStr"/>
      <c r="D146" s="4" t="n">
        <v>2329600</v>
      </c>
      <c r="E146" s="4" t="n">
        <v>2080000</v>
      </c>
      <c r="F146" s="4" t="inlineStr">
        <is>
          <t>Synology</t>
        </is>
      </c>
      <c r="G146" s="4">
        <f>HYPERLINK("https://itrix.uz/product/269", "🔗 Купить продукт")</f>
        <v/>
      </c>
      <c r="H146" s="4" t="inlineStr">
        <is>
          <t>2-269-271</t>
        </is>
      </c>
    </row>
    <row r="147" ht="30" customHeight="1">
      <c r="A147" s="3" t="inlineStr">
        <is>
          <t>RAID-контроллер</t>
        </is>
      </c>
      <c r="B147" s="3" t="inlineStr">
        <is>
          <t xml:space="preserve">RAID Контроллер DELL PERC H755 8Gb RAID </t>
        </is>
      </c>
      <c r="C147" s="4" t="inlineStr"/>
      <c r="D147" s="4" t="n">
        <v>8401120</v>
      </c>
      <c r="E147" s="4" t="n">
        <v>7501000</v>
      </c>
      <c r="F147" s="4" t="inlineStr">
        <is>
          <t>Dell</t>
        </is>
      </c>
      <c r="G147" s="4">
        <f>HYPERLINK("https://itrix.uz/product/150", "🔗 Купить продукт")</f>
        <v/>
      </c>
      <c r="H147" s="4" t="inlineStr">
        <is>
          <t>2-150-156</t>
        </is>
      </c>
    </row>
    <row r="148" ht="30" customHeight="1">
      <c r="A148" s="3" t="inlineStr">
        <is>
          <t>RAID-контроллер</t>
        </is>
      </c>
      <c r="B148" s="3" t="inlineStr">
        <is>
          <t>RAID Контроллер DELL PERC H355 Adapter</t>
        </is>
      </c>
      <c r="C148" s="4" t="inlineStr"/>
      <c r="D148" s="4" t="n">
        <v>4033120</v>
      </c>
      <c r="E148" s="4" t="n">
        <v>3601000</v>
      </c>
      <c r="F148" s="4" t="inlineStr">
        <is>
          <t>Dell</t>
        </is>
      </c>
      <c r="G148" s="4">
        <f>HYPERLINK("https://itrix.uz/product/151", "🔗 Купить продукт")</f>
        <v/>
      </c>
      <c r="H148" s="4" t="inlineStr">
        <is>
          <t>2-151-157</t>
        </is>
      </c>
    </row>
    <row r="149" ht="30" customHeight="1">
      <c r="A149" s="3" t="inlineStr">
        <is>
          <t>RAID-контроллер</t>
        </is>
      </c>
      <c r="B149" s="3" t="inlineStr">
        <is>
          <t>RAID Контроллер HPE P408e-p SR (Ext.) 4gb Cache 12G SAS PCIe (incl.96W Batt)</t>
        </is>
      </c>
      <c r="C149" s="4" t="inlineStr"/>
      <c r="D149" s="4" t="n">
        <v>7003360</v>
      </c>
      <c r="E149" s="4" t="n">
        <v>6253000</v>
      </c>
      <c r="F149" s="4" t="inlineStr">
        <is>
          <t>HPE</t>
        </is>
      </c>
      <c r="G149" s="4">
        <f>HYPERLINK("https://itrix.uz/product/146", "🔗 Купить продукт")</f>
        <v/>
      </c>
      <c r="H149" s="4" t="inlineStr">
        <is>
          <t>2-146-152</t>
        </is>
      </c>
    </row>
    <row r="150" ht="30" customHeight="1">
      <c r="A150" s="3" t="inlineStr">
        <is>
          <t>Корпуса</t>
        </is>
      </c>
      <c r="B150" s="3" t="inlineStr">
        <is>
          <t>Dell EMC PowerEdge C6520XD (в составе шасси C6400)</t>
        </is>
      </c>
      <c r="C150" s="4" t="inlineStr"/>
      <c r="D150" s="4" t="n">
        <v>345683520</v>
      </c>
      <c r="E150" s="4" t="n">
        <v>308646000</v>
      </c>
      <c r="F150" s="4" t="inlineStr">
        <is>
          <t>Dell</t>
        </is>
      </c>
      <c r="G150" s="4">
        <f>HYPERLINK("https://itrix.uz/product/446", "🔗 Купить продукт")</f>
        <v/>
      </c>
      <c r="H150" s="4" t="inlineStr">
        <is>
          <t>2-446-430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tabColor rgb="00412576"/>
    <outlinePr summaryBelow="1" summaryRight="1"/>
    <pageSetUpPr/>
  </sheetPr>
  <dimension ref="A1:H85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Патч-корды медные</t>
        </is>
      </c>
      <c r="B2" s="3" t="inlineStr">
        <is>
          <t>Патч-корд Cat 5e, FTP, RJ45, 26AWG, 7/0.16 Cu, 5.00 m, LSZH, Grey</t>
        </is>
      </c>
      <c r="C2" s="4" t="inlineStr"/>
      <c r="D2" s="4" t="n">
        <v>145600</v>
      </c>
      <c r="E2" s="4" t="n">
        <v>130000</v>
      </c>
      <c r="F2" s="4" t="inlineStr">
        <is>
          <t>Intel</t>
        </is>
      </c>
      <c r="G2" s="4">
        <f>HYPERLINK("https://itrix.uz/product/259", "🔗 Купить продукт")</f>
        <v/>
      </c>
      <c r="H2" s="4" t="inlineStr">
        <is>
          <t>4-259-260</t>
        </is>
      </c>
    </row>
    <row r="3" ht="30" customHeight="1">
      <c r="A3" s="3" t="inlineStr">
        <is>
          <t>Коммутаторы</t>
        </is>
      </c>
      <c r="B3" s="3" t="inlineStr">
        <is>
          <t>Коммутатор HPE Aruba IOn 1960 JL808A 48G 2XGT 2SFP+</t>
        </is>
      </c>
      <c r="C3" s="4" t="inlineStr"/>
      <c r="D3" s="4" t="n">
        <v>18957120</v>
      </c>
      <c r="E3" s="4" t="n">
        <v>16926000</v>
      </c>
      <c r="F3" s="4" t="inlineStr">
        <is>
          <t>HPE</t>
        </is>
      </c>
      <c r="G3" s="4">
        <f>HYPERLINK("https://itrix.uz/product/168", "🔗 Купить продукт")</f>
        <v/>
      </c>
      <c r="H3" s="4" t="inlineStr">
        <is>
          <t>4-168-170</t>
        </is>
      </c>
    </row>
    <row r="4" ht="30" customHeight="1">
      <c r="A4" s="3" t="inlineStr">
        <is>
          <t>Коммутаторы</t>
        </is>
      </c>
      <c r="B4" s="3" t="inlineStr">
        <is>
          <t xml:space="preserve"> Коммутатор H3C L2 S1850-52P 52-Port 48GE+4SFP Switch</t>
        </is>
      </c>
      <c r="C4" s="4" t="inlineStr"/>
      <c r="D4" s="4" t="n">
        <v>5474560</v>
      </c>
      <c r="E4" s="4" t="n">
        <v>4888000</v>
      </c>
      <c r="F4" s="4" t="inlineStr">
        <is>
          <t>H3C</t>
        </is>
      </c>
      <c r="G4" s="4">
        <f>HYPERLINK("https://itrix.uz/product/197", "🔗 Купить продукт")</f>
        <v/>
      </c>
      <c r="H4" s="4" t="inlineStr">
        <is>
          <t>4-197-199</t>
        </is>
      </c>
    </row>
    <row r="5" ht="30" customHeight="1">
      <c r="A5" s="3" t="inlineStr">
        <is>
          <t>Сетевые хранилища (NAS) и системы хранения данных (DSS)</t>
        </is>
      </c>
      <c r="B5" s="3" t="inlineStr">
        <is>
          <t>Сетевое хранилище NAS Synology DS1520+</t>
        </is>
      </c>
      <c r="C5" s="4" t="inlineStr"/>
      <c r="D5" s="4" t="n">
        <v>11487840</v>
      </c>
      <c r="E5" s="4" t="n">
        <v>10257000</v>
      </c>
      <c r="F5" s="4" t="inlineStr">
        <is>
          <t>Synology</t>
        </is>
      </c>
      <c r="G5" s="4">
        <f>HYPERLINK("https://itrix.uz/product/271", "🔗 Купить продукт")</f>
        <v/>
      </c>
      <c r="H5" s="4" t="inlineStr">
        <is>
          <t>4-271-273</t>
        </is>
      </c>
    </row>
    <row r="6" ht="30" customHeight="1">
      <c r="A6" s="3" t="inlineStr">
        <is>
          <t>Коммутаторы</t>
        </is>
      </c>
      <c r="B6" s="3" t="inlineStr">
        <is>
          <t>Управляемый коммутатор Ubiquiti UniFi Switch 48 USW-48-EU</t>
        </is>
      </c>
      <c r="C6" s="4" t="inlineStr"/>
      <c r="D6" s="4" t="n">
        <v>7949760</v>
      </c>
      <c r="E6" s="4" t="n">
        <v>7098000</v>
      </c>
      <c r="F6" s="4" t="inlineStr">
        <is>
          <t>UniFi UBIQUITI</t>
        </is>
      </c>
      <c r="G6" s="4">
        <f>HYPERLINK("https://itrix.uz/product/189", "🔗 Купить продукт")</f>
        <v/>
      </c>
      <c r="H6" s="4" t="inlineStr">
        <is>
          <t>4-189-191</t>
        </is>
      </c>
    </row>
    <row r="7" ht="30" customHeight="1">
      <c r="A7" s="3" t="inlineStr">
        <is>
          <t>Коммутаторы</t>
        </is>
      </c>
      <c r="B7" s="3" t="inlineStr">
        <is>
          <t>Коммутатор H3C L2 S1850-28P-PWR 28-Port  24GE+4SFP+PoE AC Switch</t>
        </is>
      </c>
      <c r="C7" s="4" t="inlineStr"/>
      <c r="D7" s="4" t="n">
        <v>6042400</v>
      </c>
      <c r="E7" s="4" t="n">
        <v>5395000</v>
      </c>
      <c r="F7" s="4" t="inlineStr">
        <is>
          <t>H3C</t>
        </is>
      </c>
      <c r="G7" s="4">
        <f>HYPERLINK("https://itrix.uz/product/206", "🔗 Купить продукт")</f>
        <v/>
      </c>
      <c r="H7" s="4" t="inlineStr">
        <is>
          <t>4-206-208</t>
        </is>
      </c>
    </row>
    <row r="8" ht="30" customHeight="1">
      <c r="A8" s="3" t="inlineStr">
        <is>
          <t>Патч-корды медные</t>
        </is>
      </c>
      <c r="B8" s="3" t="inlineStr">
        <is>
          <t>Патч-корд Cat 5e, FTP, RJ45, 26AWG, 7/0.16 Cu, 2.00 m, LSZH, Grey</t>
        </is>
      </c>
      <c r="C8" s="4" t="inlineStr"/>
      <c r="D8" s="4" t="n">
        <v>145600</v>
      </c>
      <c r="E8" s="4" t="n">
        <v>130000</v>
      </c>
      <c r="F8" s="4" t="inlineStr">
        <is>
          <t>Intel</t>
        </is>
      </c>
      <c r="G8" s="4">
        <f>HYPERLINK("https://itrix.uz/product/257", "🔗 Купить продукт")</f>
        <v/>
      </c>
      <c r="H8" s="4" t="inlineStr">
        <is>
          <t>4-257-259</t>
        </is>
      </c>
    </row>
    <row r="9" ht="30" customHeight="1">
      <c r="A9" s="3" t="inlineStr">
        <is>
          <t>Сетевые хранилища (NAS) и системы хранения данных (DSS)</t>
        </is>
      </c>
      <c r="B9" s="3" t="inlineStr">
        <is>
          <t>Сетевое хранилище NAS Synology RS820RP+</t>
        </is>
      </c>
      <c r="C9" s="4" t="inlineStr"/>
      <c r="D9" s="4" t="n">
        <v>20398560</v>
      </c>
      <c r="E9" s="4" t="n">
        <v>18213000</v>
      </c>
      <c r="F9" s="4" t="inlineStr">
        <is>
          <t>Synology</t>
        </is>
      </c>
      <c r="G9" s="4">
        <f>HYPERLINK("https://itrix.uz/product/280", "🔗 Купить продукт")</f>
        <v/>
      </c>
      <c r="H9" s="4" t="inlineStr">
        <is>
          <t>4-280-282</t>
        </is>
      </c>
    </row>
    <row r="10" ht="30" customHeight="1">
      <c r="A10" s="3" t="inlineStr">
        <is>
          <t>Сетевые хранилища (NAS) и системы хранения данных (DSS)</t>
        </is>
      </c>
      <c r="B10" s="3" t="inlineStr">
        <is>
          <t>Сетевое хранилище NAS Synology DS220J</t>
        </is>
      </c>
      <c r="C10" s="4" t="inlineStr"/>
      <c r="D10" s="4" t="n">
        <v>3640000</v>
      </c>
      <c r="E10" s="4" t="n">
        <v>3250000</v>
      </c>
      <c r="F10" s="4" t="inlineStr">
        <is>
          <t>Synology</t>
        </is>
      </c>
      <c r="G10" s="4">
        <f>HYPERLINK("https://itrix.uz/product/274", "🔗 Купить продукт")</f>
        <v/>
      </c>
      <c r="H10" s="4" t="inlineStr">
        <is>
          <t>4-274-276</t>
        </is>
      </c>
    </row>
    <row r="11" ht="30" customHeight="1">
      <c r="A11" s="3" t="inlineStr">
        <is>
          <t>Сетевые хранилища (NAS) и системы хранения данных (DSS)</t>
        </is>
      </c>
      <c r="B11" s="3" t="inlineStr">
        <is>
          <t>Сетевое хранилище NAS Synology DS420+</t>
        </is>
      </c>
      <c r="C11" s="4" t="inlineStr"/>
      <c r="D11" s="4" t="n">
        <v>11444160</v>
      </c>
      <c r="E11" s="4" t="n">
        <v>10218000</v>
      </c>
      <c r="F11" s="4" t="inlineStr">
        <is>
          <t>Synology</t>
        </is>
      </c>
      <c r="G11" s="4">
        <f>HYPERLINK("https://itrix.uz/product/275", "🔗 Купить продукт")</f>
        <v/>
      </c>
      <c r="H11" s="4" t="inlineStr">
        <is>
          <t>4-275-277</t>
        </is>
      </c>
    </row>
    <row r="12" ht="30" customHeight="1">
      <c r="A12" s="3" t="inlineStr">
        <is>
          <t>Сетевые хранилища (NAS) и системы хранения данных (DSS)</t>
        </is>
      </c>
      <c r="B12" s="3" t="inlineStr">
        <is>
          <t>Сетевое хранилище NAS Synology DS423+</t>
        </is>
      </c>
      <c r="C12" s="4" t="inlineStr"/>
      <c r="D12" s="4" t="n">
        <v>9711520</v>
      </c>
      <c r="E12" s="4" t="n">
        <v>8671000</v>
      </c>
      <c r="F12" s="4" t="inlineStr">
        <is>
          <t>Synology</t>
        </is>
      </c>
      <c r="G12" s="4">
        <f>HYPERLINK("https://itrix.uz/product/265", "🔗 Купить продукт")</f>
        <v/>
      </c>
      <c r="H12" s="4" t="inlineStr">
        <is>
          <t>4-265-267</t>
        </is>
      </c>
    </row>
    <row r="13" ht="30" customHeight="1">
      <c r="A13" s="3" t="inlineStr">
        <is>
          <t>Сетевые хранилища (NAS) и системы хранения данных (DSS)</t>
        </is>
      </c>
      <c r="B13" s="3" t="inlineStr">
        <is>
          <t>Сетевое хранилище NAS Synology DS220+</t>
        </is>
      </c>
      <c r="C13" s="4" t="inlineStr"/>
      <c r="D13" s="4" t="n">
        <v>5285280</v>
      </c>
      <c r="E13" s="4" t="n">
        <v>4719000</v>
      </c>
      <c r="F13" s="4" t="inlineStr">
        <is>
          <t>Synology</t>
        </is>
      </c>
      <c r="G13" s="4">
        <f>HYPERLINK("https://itrix.uz/product/264", "🔗 Купить продукт")</f>
        <v/>
      </c>
      <c r="H13" s="4" t="inlineStr">
        <is>
          <t>4-264-266</t>
        </is>
      </c>
    </row>
    <row r="14" ht="30" customHeight="1">
      <c r="A14" s="3" t="inlineStr">
        <is>
          <t>Коммутаторы</t>
        </is>
      </c>
      <c r="B14" s="3" t="inlineStr">
        <is>
          <t>Управляемый коммутатор HPE Aruba 2930F JL255A 24G PoE+ 4SFP+ Switch</t>
        </is>
      </c>
      <c r="C14" s="4" t="inlineStr"/>
      <c r="D14" s="4" t="n">
        <v>25771200</v>
      </c>
      <c r="E14" s="4" t="n">
        <v>23010000</v>
      </c>
      <c r="F14" s="4" t="inlineStr">
        <is>
          <t>HPE</t>
        </is>
      </c>
      <c r="G14" s="4">
        <f>HYPERLINK("https://itrix.uz/product/169", "🔗 Купить продукт")</f>
        <v/>
      </c>
      <c r="H14" s="4" t="inlineStr">
        <is>
          <t>4-169-171</t>
        </is>
      </c>
    </row>
    <row r="15" ht="30" customHeight="1">
      <c r="A15" s="3" t="inlineStr">
        <is>
          <t>Коммутаторы</t>
        </is>
      </c>
      <c r="B15" s="3" t="inlineStr">
        <is>
          <t>Коммутатор HPE Aruba IOn 1960 JL809A 48G 2XGT 2SFP+ PoE 600W</t>
        </is>
      </c>
      <c r="C15" s="4" t="inlineStr"/>
      <c r="D15" s="4" t="n">
        <v>34783840</v>
      </c>
      <c r="E15" s="4" t="n">
        <v>31057000</v>
      </c>
      <c r="F15" s="4" t="inlineStr">
        <is>
          <t>HPE</t>
        </is>
      </c>
      <c r="G15" s="4">
        <f>HYPERLINK("https://itrix.uz/product/167", "🔗 Купить продукт")</f>
        <v/>
      </c>
      <c r="H15" s="4" t="inlineStr">
        <is>
          <t>4-167-169</t>
        </is>
      </c>
    </row>
    <row r="16" ht="30" customHeight="1">
      <c r="A16" s="3" t="inlineStr">
        <is>
          <t>Коммутаторы</t>
        </is>
      </c>
      <c r="B16" s="3" t="inlineStr">
        <is>
          <t>Коммутатор HPE Aruba IOn 1930 JL686B 48G 4SFP+ PoE 370W</t>
        </is>
      </c>
      <c r="C16" s="4" t="inlineStr"/>
      <c r="D16" s="4" t="n">
        <v>11924640</v>
      </c>
      <c r="E16" s="4" t="n">
        <v>10647000</v>
      </c>
      <c r="F16" s="4" t="inlineStr">
        <is>
          <t>HPE</t>
        </is>
      </c>
      <c r="G16" s="4">
        <f>HYPERLINK("https://itrix.uz/product/173", "🔗 Купить продукт")</f>
        <v/>
      </c>
      <c r="H16" s="4" t="inlineStr">
        <is>
          <t>4-173-175</t>
        </is>
      </c>
    </row>
    <row r="17" ht="30" customHeight="1">
      <c r="A17" s="3" t="inlineStr">
        <is>
          <t>Коммутаторы</t>
        </is>
      </c>
      <c r="B17" s="3" t="inlineStr">
        <is>
          <t>Управляемый коммутатор Ubiquiti UniFi Switch 24 PoE US-24-250W</t>
        </is>
      </c>
      <c r="C17" s="4" t="inlineStr"/>
      <c r="D17" s="4" t="n">
        <v>11342240</v>
      </c>
      <c r="E17" s="4" t="n">
        <v>10127000</v>
      </c>
      <c r="F17" s="4" t="inlineStr">
        <is>
          <t>UniFi UBIQUITI</t>
        </is>
      </c>
      <c r="G17" s="4">
        <f>HYPERLINK("https://itrix.uz/product/182", "🔗 Купить продукт")</f>
        <v/>
      </c>
      <c r="H17" s="4" t="inlineStr">
        <is>
          <t>4-182-184</t>
        </is>
      </c>
    </row>
    <row r="18" ht="30" customHeight="1">
      <c r="A18" s="3" t="inlineStr">
        <is>
          <t>Коммутаторы</t>
        </is>
      </c>
      <c r="B18" s="3" t="inlineStr">
        <is>
          <t>Управляемый коммутатор Ubiquiti UniFi Switch 16 PoE US-16-150W</t>
        </is>
      </c>
      <c r="C18" s="4" t="inlineStr"/>
      <c r="D18" s="4" t="n">
        <v>6086080</v>
      </c>
      <c r="E18" s="4" t="n">
        <v>5434000</v>
      </c>
      <c r="F18" s="4" t="inlineStr">
        <is>
          <t>UniFi UBIQUITI</t>
        </is>
      </c>
      <c r="G18" s="4">
        <f>HYPERLINK("https://itrix.uz/product/181", "🔗 Купить продукт")</f>
        <v/>
      </c>
      <c r="H18" s="4" t="inlineStr">
        <is>
          <t>4-181-183</t>
        </is>
      </c>
    </row>
    <row r="19" ht="30" customHeight="1">
      <c r="A19" s="3" t="inlineStr">
        <is>
          <t>Коммутаторы</t>
        </is>
      </c>
      <c r="B19" s="3" t="inlineStr">
        <is>
          <t>Управляемый коммутатор Ubiquiti UniFi Switch 8 PoE US-8-150W</t>
        </is>
      </c>
      <c r="C19" s="4" t="inlineStr"/>
      <c r="D19" s="4" t="n">
        <v>3945760</v>
      </c>
      <c r="E19" s="4" t="n">
        <v>3523000</v>
      </c>
      <c r="F19" s="4" t="inlineStr">
        <is>
          <t>UniFi UBIQUITI</t>
        </is>
      </c>
      <c r="G19" s="4">
        <f>HYPERLINK("https://itrix.uz/product/184", "🔗 Купить продукт")</f>
        <v/>
      </c>
      <c r="H19" s="4" t="inlineStr">
        <is>
          <t>4-184-186</t>
        </is>
      </c>
    </row>
    <row r="20" ht="30" customHeight="1">
      <c r="A20" s="3" t="inlineStr">
        <is>
          <t>Коммутаторы</t>
        </is>
      </c>
      <c r="B20" s="3" t="inlineStr">
        <is>
          <t>Управляемый коммутатор Ubiquiti UniFi Switch 48 PoE US-48-500W</t>
        </is>
      </c>
      <c r="C20" s="4" t="inlineStr"/>
      <c r="D20" s="4" t="n">
        <v>16758560</v>
      </c>
      <c r="E20" s="4" t="n">
        <v>14963000</v>
      </c>
      <c r="F20" s="4" t="inlineStr">
        <is>
          <t>UniFi UBIQUITI</t>
        </is>
      </c>
      <c r="G20" s="4">
        <f>HYPERLINK("https://itrix.uz/product/183", "🔗 Купить продукт")</f>
        <v/>
      </c>
      <c r="H20" s="4" t="inlineStr">
        <is>
          <t>4-183-185</t>
        </is>
      </c>
    </row>
    <row r="21" ht="30" customHeight="1">
      <c r="A21" s="3" t="inlineStr">
        <is>
          <t>Коммутаторы</t>
        </is>
      </c>
      <c r="B21" s="3" t="inlineStr">
        <is>
          <t>Управляемый коммутатор HPE Aruba 6100 JL677A 24G 4SFP+ PoE 370W Switch</t>
        </is>
      </c>
      <c r="C21" s="4" t="inlineStr"/>
      <c r="D21" s="4" t="n">
        <v>42384160</v>
      </c>
      <c r="E21" s="4" t="n">
        <v>37843000</v>
      </c>
      <c r="F21" s="4" t="inlineStr">
        <is>
          <t>HPE</t>
        </is>
      </c>
      <c r="G21" s="4">
        <f>HYPERLINK("https://itrix.uz/product/162", "🔗 Купить продукт")</f>
        <v/>
      </c>
      <c r="H21" s="4" t="inlineStr">
        <is>
          <t>4-162-108</t>
        </is>
      </c>
    </row>
    <row r="22" ht="30" customHeight="1">
      <c r="A22" s="3" t="inlineStr">
        <is>
          <t>Сетевые хранилища (NAS) и системы хранения данных (DSS)</t>
        </is>
      </c>
      <c r="B22" s="3" t="inlineStr">
        <is>
          <t>Сетевое хранилище NAS Synology FlashStation FS6400</t>
        </is>
      </c>
      <c r="C22" s="4" t="inlineStr"/>
      <c r="D22" s="4" t="n">
        <v>205994880</v>
      </c>
      <c r="E22" s="4" t="n">
        <v>183924000</v>
      </c>
      <c r="F22" s="4" t="inlineStr">
        <is>
          <t>Synology</t>
        </is>
      </c>
      <c r="G22" s="4">
        <f>HYPERLINK("https://itrix.uz/product/277", "🔗 Купить продукт")</f>
        <v/>
      </c>
      <c r="H22" s="4" t="inlineStr">
        <is>
          <t>4-277-279</t>
        </is>
      </c>
    </row>
    <row r="23" ht="30" customHeight="1">
      <c r="A23" s="3" t="inlineStr">
        <is>
          <t>Коммутаторы</t>
        </is>
      </c>
      <c r="B23" s="3" t="inlineStr">
        <is>
          <t>Управляемый коммутатор Ubiquiti UniFi Switch 24 USW-24-EU</t>
        </is>
      </c>
      <c r="C23" s="4" t="inlineStr"/>
      <c r="D23" s="4" t="n">
        <v>4688320</v>
      </c>
      <c r="E23" s="4" t="n">
        <v>4186000</v>
      </c>
      <c r="F23" s="4" t="inlineStr">
        <is>
          <t>UniFi UBIQUITI</t>
        </is>
      </c>
      <c r="G23" s="4">
        <f>HYPERLINK("https://itrix.uz/product/188", "🔗 Купить продукт")</f>
        <v/>
      </c>
      <c r="H23" s="4" t="inlineStr">
        <is>
          <t>4-188-190</t>
        </is>
      </c>
    </row>
    <row r="24" ht="30" customHeight="1">
      <c r="A24" s="3" t="inlineStr">
        <is>
          <t>Патч-корды медные</t>
        </is>
      </c>
      <c r="B24" s="3" t="inlineStr">
        <is>
          <t>Патч-корд Cat 5e, FTP, RJ45, 26AWG, 7/0.16 Cu, 1.00 m, LSZH, Grey</t>
        </is>
      </c>
      <c r="C24" s="4" t="inlineStr"/>
      <c r="D24" s="4" t="n">
        <v>145600</v>
      </c>
      <c r="E24" s="4" t="n">
        <v>130000</v>
      </c>
      <c r="F24" s="4" t="inlineStr">
        <is>
          <t>Intel</t>
        </is>
      </c>
      <c r="G24" s="4">
        <f>HYPERLINK("https://itrix.uz/product/256", "🔗 Купить продукт")</f>
        <v/>
      </c>
      <c r="H24" s="4" t="inlineStr">
        <is>
          <t>4-256-258</t>
        </is>
      </c>
    </row>
    <row r="25" ht="30" customHeight="1">
      <c r="A25" s="3" t="inlineStr">
        <is>
          <t>Патч-корды медные</t>
        </is>
      </c>
      <c r="B25" s="3" t="inlineStr">
        <is>
          <t>Патч-корд Cat 5e, FTP, RJ45, 26AWG, 7/0.16 Cu, 3.00 m, LSZH, Grey</t>
        </is>
      </c>
      <c r="C25" s="4" t="inlineStr"/>
      <c r="D25" s="4" t="n">
        <v>145600</v>
      </c>
      <c r="E25" s="4" t="n">
        <v>130000</v>
      </c>
      <c r="F25" s="4" t="inlineStr">
        <is>
          <t>Intel</t>
        </is>
      </c>
      <c r="G25" s="4">
        <f>HYPERLINK("https://itrix.uz/product/258", "🔗 Купить продукт")</f>
        <v/>
      </c>
      <c r="H25" s="4" t="inlineStr">
        <is>
          <t>4-258-375</t>
        </is>
      </c>
    </row>
    <row r="26" ht="30" customHeight="1">
      <c r="A26" s="3" t="inlineStr">
        <is>
          <t>Коммутаторы</t>
        </is>
      </c>
      <c r="B26" s="3" t="inlineStr">
        <is>
          <t>Управляемый коммутатор Ubiquiti UniFi Switch 16 USW-Lite-16-POE</t>
        </is>
      </c>
      <c r="C26" s="4" t="inlineStr"/>
      <c r="D26" s="4" t="n">
        <v>4600960</v>
      </c>
      <c r="E26" s="4" t="n">
        <v>4108000</v>
      </c>
      <c r="F26" s="4" t="inlineStr">
        <is>
          <t>UniFi UBIQUITI</t>
        </is>
      </c>
      <c r="G26" s="4">
        <f>HYPERLINK("https://itrix.uz/product/193", "🔗 Купить продукт")</f>
        <v/>
      </c>
      <c r="H26" s="4" t="inlineStr">
        <is>
          <t>4-193-195</t>
        </is>
      </c>
    </row>
    <row r="27" ht="30" customHeight="1">
      <c r="A27" s="3" t="inlineStr">
        <is>
          <t>Коммутаторы</t>
        </is>
      </c>
      <c r="B27" s="3" t="inlineStr">
        <is>
          <t>Управляемый коммутатор UniFi Switch Pro 48 PoE USW-Pro-48-POE</t>
        </is>
      </c>
      <c r="C27" s="4" t="inlineStr"/>
      <c r="D27" s="4" t="n">
        <v>22349600</v>
      </c>
      <c r="E27" s="4" t="n">
        <v>19955000</v>
      </c>
      <c r="F27" s="4" t="inlineStr">
        <is>
          <t>UniFi UBIQUITI</t>
        </is>
      </c>
      <c r="G27" s="4">
        <f>HYPERLINK("https://itrix.uz/product/195", "🔗 Купить продукт")</f>
        <v/>
      </c>
      <c r="H27" s="4" t="inlineStr">
        <is>
          <t>4-195-197</t>
        </is>
      </c>
    </row>
    <row r="28" ht="30" customHeight="1">
      <c r="A28" s="3" t="inlineStr">
        <is>
          <t>Коммутаторы</t>
        </is>
      </c>
      <c r="B28" s="3" t="inlineStr">
        <is>
          <t>Управляемый коммутатор Fortinet FortiSwitch FS-108F-FPOE 8G 2SFP PoE Switch</t>
        </is>
      </c>
      <c r="C28" s="4" t="inlineStr"/>
      <c r="D28" s="4" t="n">
        <v>7687680</v>
      </c>
      <c r="E28" s="4" t="n">
        <v>6864000</v>
      </c>
      <c r="F28" s="4" t="inlineStr">
        <is>
          <t>Fortinet</t>
        </is>
      </c>
      <c r="G28" s="4">
        <f>HYPERLINK("https://itrix.uz/product/175", "🔗 Купить продукт")</f>
        <v/>
      </c>
      <c r="H28" s="4" t="inlineStr">
        <is>
          <t>4-175-177</t>
        </is>
      </c>
    </row>
    <row r="29" ht="30" customHeight="1">
      <c r="A29" s="3" t="inlineStr">
        <is>
          <t>Коммутаторы</t>
        </is>
      </c>
      <c r="B29" s="3" t="inlineStr">
        <is>
          <t>Коммутатор H3C L2 S1850V2-28X 24G 4x1G/10G BASE-X SFP Plus Ports Switch</t>
        </is>
      </c>
      <c r="C29" s="4" t="inlineStr"/>
      <c r="D29" s="4" t="n">
        <v>5460000</v>
      </c>
      <c r="E29" s="4" t="n">
        <v>4875000</v>
      </c>
      <c r="F29" s="4" t="inlineStr">
        <is>
          <t>H3C</t>
        </is>
      </c>
      <c r="G29" s="4">
        <f>HYPERLINK("https://itrix.uz/product/199", "🔗 Купить продукт")</f>
        <v/>
      </c>
      <c r="H29" s="4" t="inlineStr">
        <is>
          <t>4-199-201</t>
        </is>
      </c>
    </row>
    <row r="30" ht="30" customHeight="1">
      <c r="A30" s="3" t="inlineStr">
        <is>
          <t>Коммутаторы</t>
        </is>
      </c>
      <c r="B30" s="3" t="inlineStr">
        <is>
          <t>Коммутатор H3C L2 S5120V2-20P-LI 16G+4SFP Switch</t>
        </is>
      </c>
      <c r="C30" s="4" t="inlineStr"/>
      <c r="D30" s="4" t="n">
        <v>2868320</v>
      </c>
      <c r="E30" s="4" t="n">
        <v>2561000</v>
      </c>
      <c r="F30" s="4" t="inlineStr">
        <is>
          <t>H3C</t>
        </is>
      </c>
      <c r="G30" s="4">
        <f>HYPERLINK("https://itrix.uz/product/200", "🔗 Купить продукт")</f>
        <v/>
      </c>
      <c r="H30" s="4" t="inlineStr">
        <is>
          <t>4-200-202</t>
        </is>
      </c>
    </row>
    <row r="31" ht="30" customHeight="1">
      <c r="A31" s="3" t="inlineStr">
        <is>
          <t>Коммутаторы</t>
        </is>
      </c>
      <c r="B31" s="3" t="inlineStr">
        <is>
          <t>Коммутатор H3C L2 S1850-28P 28-Port 24GE+4SFP Switch</t>
        </is>
      </c>
      <c r="C31" s="4" t="inlineStr"/>
      <c r="D31" s="4" t="n">
        <v>2941120</v>
      </c>
      <c r="E31" s="4" t="n">
        <v>2626000</v>
      </c>
      <c r="F31" s="4" t="inlineStr">
        <is>
          <t>H3C</t>
        </is>
      </c>
      <c r="G31" s="4">
        <f>HYPERLINK("https://itrix.uz/product/196", "🔗 Купить продукт")</f>
        <v/>
      </c>
      <c r="H31" s="4" t="inlineStr">
        <is>
          <t>4-196-198</t>
        </is>
      </c>
    </row>
    <row r="32" ht="30" customHeight="1">
      <c r="A32" s="3" t="inlineStr">
        <is>
          <t>Коммутаторы</t>
        </is>
      </c>
      <c r="B32" s="3" t="inlineStr">
        <is>
          <t>Управляемый коммутатор H3C L2 S5130S-28S-LI 24G 4*1G/10G  SFP+ Switch</t>
        </is>
      </c>
      <c r="C32" s="4" t="inlineStr"/>
      <c r="D32" s="4" t="n">
        <v>3712800</v>
      </c>
      <c r="E32" s="4" t="n">
        <v>3315000</v>
      </c>
      <c r="F32" s="4" t="inlineStr">
        <is>
          <t>H3C</t>
        </is>
      </c>
      <c r="G32" s="4">
        <f>HYPERLINK("https://itrix.uz/product/201", "🔗 Купить продукт")</f>
        <v/>
      </c>
      <c r="H32" s="4" t="inlineStr">
        <is>
          <t>4-201-203</t>
        </is>
      </c>
    </row>
    <row r="33" ht="30" customHeight="1">
      <c r="A33" s="3" t="inlineStr">
        <is>
          <t>Патч-корды медные</t>
        </is>
      </c>
      <c r="B33" s="3" t="inlineStr">
        <is>
          <t>Патч-корд Cat 6, FTP, RJ45, 26AWG, 7/0.16 Cu, 1.00 m, LSZH, Grey</t>
        </is>
      </c>
      <c r="C33" s="4" t="inlineStr"/>
      <c r="D33" s="4" t="n">
        <v>145600</v>
      </c>
      <c r="E33" s="4" t="n">
        <v>130000</v>
      </c>
      <c r="F33" s="4" t="inlineStr">
        <is>
          <t>Intel</t>
        </is>
      </c>
      <c r="G33" s="4">
        <f>HYPERLINK("https://itrix.uz/product/260", "🔗 Купить продукт")</f>
        <v/>
      </c>
      <c r="H33" s="4" t="inlineStr">
        <is>
          <t>4-260-261</t>
        </is>
      </c>
    </row>
    <row r="34" ht="30" customHeight="1">
      <c r="A34" s="3" t="inlineStr">
        <is>
          <t>Коммутаторы</t>
        </is>
      </c>
      <c r="B34" s="3" t="inlineStr">
        <is>
          <t>Управляемый коммутатор Ubiquiti UniFi Switch 48 PoE USW-48-POE-EU</t>
        </is>
      </c>
      <c r="C34" s="4" t="inlineStr"/>
      <c r="D34" s="4" t="n">
        <v>12565280</v>
      </c>
      <c r="E34" s="4" t="n">
        <v>11219000</v>
      </c>
      <c r="F34" s="4" t="inlineStr">
        <is>
          <t>UniFi UBIQUITI</t>
        </is>
      </c>
      <c r="G34" s="4">
        <f>HYPERLINK("https://itrix.uz/product/187", "🔗 Купить продукт")</f>
        <v/>
      </c>
      <c r="H34" s="4" t="inlineStr">
        <is>
          <t>4-187-189</t>
        </is>
      </c>
    </row>
    <row r="35" ht="30" customHeight="1">
      <c r="A35" s="3" t="inlineStr">
        <is>
          <t>Коммутаторы</t>
        </is>
      </c>
      <c r="B35" s="3" t="inlineStr">
        <is>
          <t>Управляемый PoE коммутатор H3C L2 S5024PV3-EI-PWR 24G+PoE+4SFP Switch</t>
        </is>
      </c>
      <c r="C35" s="4" t="inlineStr"/>
      <c r="D35" s="4" t="n">
        <v>4950400</v>
      </c>
      <c r="E35" s="4" t="n">
        <v>4420000</v>
      </c>
      <c r="F35" s="4" t="inlineStr">
        <is>
          <t>H3C</t>
        </is>
      </c>
      <c r="G35" s="4">
        <f>HYPERLINK("https://itrix.uz/product/204", "🔗 Купить продукт")</f>
        <v/>
      </c>
      <c r="H35" s="4" t="inlineStr">
        <is>
          <t>4-204-206</t>
        </is>
      </c>
    </row>
    <row r="36" ht="30" customHeight="1">
      <c r="A36" s="3" t="inlineStr">
        <is>
          <t>Коммутаторы</t>
        </is>
      </c>
      <c r="B36" s="3" t="inlineStr">
        <is>
          <t>Управляемый коммутатор Fortinet FortiSwitch FS-148F-FPOE 48G 4SFP+ PoE Switch</t>
        </is>
      </c>
      <c r="C36" s="4" t="inlineStr"/>
      <c r="D36" s="4" t="n">
        <v>30357600</v>
      </c>
      <c r="E36" s="4" t="n">
        <v>27105000</v>
      </c>
      <c r="F36" s="4" t="inlineStr">
        <is>
          <t>Fortinet</t>
        </is>
      </c>
      <c r="G36" s="4">
        <f>HYPERLINK("https://itrix.uz/product/177", "🔗 Купить продукт")</f>
        <v/>
      </c>
      <c r="H36" s="4" t="inlineStr">
        <is>
          <t>4-177-179</t>
        </is>
      </c>
    </row>
    <row r="37" ht="30" customHeight="1">
      <c r="A37" s="3" t="inlineStr">
        <is>
          <t>Коммутаторы</t>
        </is>
      </c>
      <c r="B37" s="3" t="inlineStr">
        <is>
          <t>Коммутатор H3C L2 S5120V2-28P-PWR-LI 24G+4SFP+PoE 185W Switch</t>
        </is>
      </c>
      <c r="C37" s="4" t="inlineStr"/>
      <c r="D37" s="4" t="n">
        <v>5722080</v>
      </c>
      <c r="E37" s="4" t="n">
        <v>5109000</v>
      </c>
      <c r="F37" s="4" t="inlineStr">
        <is>
          <t>H3C</t>
        </is>
      </c>
      <c r="G37" s="4">
        <f>HYPERLINK("https://itrix.uz/product/205", "🔗 Купить продукт")</f>
        <v/>
      </c>
      <c r="H37" s="4" t="inlineStr">
        <is>
          <t>4-205-207</t>
        </is>
      </c>
    </row>
    <row r="38" ht="30" customHeight="1">
      <c r="A38" s="3" t="inlineStr">
        <is>
          <t>Коммутаторы</t>
        </is>
      </c>
      <c r="B38" s="3" t="inlineStr">
        <is>
          <t>Управляемый коммутатор H3C S5560S-52S-SI 48G 4x1G/10G SFP+ Switch</t>
        </is>
      </c>
      <c r="C38" s="4" t="inlineStr"/>
      <c r="D38" s="4" t="n">
        <v>8939840</v>
      </c>
      <c r="E38" s="4" t="n">
        <v>7982000</v>
      </c>
      <c r="F38" s="4" t="inlineStr">
        <is>
          <t>H3C</t>
        </is>
      </c>
      <c r="G38" s="4">
        <f>HYPERLINK("https://itrix.uz/product/214", "🔗 Купить продукт")</f>
        <v/>
      </c>
      <c r="H38" s="4" t="inlineStr">
        <is>
          <t>4-214-216</t>
        </is>
      </c>
    </row>
    <row r="39" ht="30" customHeight="1">
      <c r="A39" s="3" t="inlineStr">
        <is>
          <t>Коммутаторы</t>
        </is>
      </c>
      <c r="B39" s="3" t="inlineStr">
        <is>
          <t>Управляемый коммутатор Fortinet FortiSwitch FS-124F-FPOE 24G 4SFP PoE Switch</t>
        </is>
      </c>
      <c r="C39" s="4" t="inlineStr"/>
      <c r="D39" s="4" t="n">
        <v>19219200</v>
      </c>
      <c r="E39" s="4" t="n">
        <v>17160000</v>
      </c>
      <c r="F39" s="4" t="inlineStr">
        <is>
          <t>Fortinet</t>
        </is>
      </c>
      <c r="G39" s="4">
        <f>HYPERLINK("https://itrix.uz/product/176", "🔗 Купить продукт")</f>
        <v/>
      </c>
      <c r="H39" s="4" t="inlineStr">
        <is>
          <t>4-176-178</t>
        </is>
      </c>
    </row>
    <row r="40" ht="30" customHeight="1">
      <c r="A40" s="3" t="inlineStr">
        <is>
          <t>Коммутаторы</t>
        </is>
      </c>
      <c r="B40" s="3" t="inlineStr">
        <is>
          <t>Управляемый коммутатор H3C L2 S5024PV3-EI 24G+4SFP Switch</t>
        </is>
      </c>
      <c r="C40" s="4" t="inlineStr"/>
      <c r="D40" s="4" t="n">
        <v>3581760</v>
      </c>
      <c r="E40" s="4" t="n">
        <v>3198000</v>
      </c>
      <c r="F40" s="4" t="inlineStr">
        <is>
          <t>H3C</t>
        </is>
      </c>
      <c r="G40" s="4">
        <f>HYPERLINK("https://itrix.uz/product/216", "🔗 Купить продукт")</f>
        <v/>
      </c>
      <c r="H40" s="4" t="inlineStr">
        <is>
          <t>4-216-218</t>
        </is>
      </c>
    </row>
    <row r="41" ht="30" customHeight="1">
      <c r="A41" s="3" t="inlineStr">
        <is>
          <t>Сетевые хранилища (NAS) и системы хранения данных (DSS)</t>
        </is>
      </c>
      <c r="B41" s="3" t="inlineStr">
        <is>
          <t>Сетевое хранилище NAS Synology DS1522+</t>
        </is>
      </c>
      <c r="C41" s="4" t="inlineStr"/>
      <c r="D41" s="4" t="n">
        <v>14589120</v>
      </c>
      <c r="E41" s="4" t="n">
        <v>13026000</v>
      </c>
      <c r="F41" s="4" t="inlineStr">
        <is>
          <t>Synology</t>
        </is>
      </c>
      <c r="G41" s="4">
        <f>HYPERLINK("https://itrix.uz/product/267", "🔗 Купить продукт")</f>
        <v/>
      </c>
      <c r="H41" s="4" t="inlineStr">
        <is>
          <t>4-267-269</t>
        </is>
      </c>
    </row>
    <row r="42" ht="30" customHeight="1">
      <c r="A42" s="3" t="inlineStr">
        <is>
          <t>Сетевые хранилища (NAS) и системы хранения данных (DSS)</t>
        </is>
      </c>
      <c r="B42" s="3" t="inlineStr">
        <is>
          <t>Сетевое хранилище NAS Synology DS1819+</t>
        </is>
      </c>
      <c r="C42" s="4" t="inlineStr"/>
      <c r="D42" s="4" t="n">
        <v>20354880</v>
      </c>
      <c r="E42" s="4" t="n">
        <v>18174000</v>
      </c>
      <c r="F42" s="4" t="inlineStr">
        <is>
          <t>Synology</t>
        </is>
      </c>
      <c r="G42" s="4">
        <f>HYPERLINK("https://itrix.uz/product/272", "🔗 Купить продукт")</f>
        <v/>
      </c>
      <c r="H42" s="4" t="inlineStr">
        <is>
          <t>4-272-274</t>
        </is>
      </c>
    </row>
    <row r="43" ht="30" customHeight="1">
      <c r="A43" s="3" t="inlineStr">
        <is>
          <t>Коммутаторы</t>
        </is>
      </c>
      <c r="B43" s="3" t="inlineStr">
        <is>
          <t>Управляемый коммутатор H3C L3 S5560S-52F-EI 48G SFP / 2*GE Combo Ports / 4x1G/10G SFP+ Switch</t>
        </is>
      </c>
      <c r="C43" s="4" t="inlineStr"/>
      <c r="D43" s="4" t="n">
        <v>12230400</v>
      </c>
      <c r="E43" s="4" t="n">
        <v>10920000</v>
      </c>
      <c r="F43" s="4" t="inlineStr">
        <is>
          <t>H3C</t>
        </is>
      </c>
      <c r="G43" s="4">
        <f>HYPERLINK("https://itrix.uz/product/207", "🔗 Купить продукт")</f>
        <v/>
      </c>
      <c r="H43" s="4" t="inlineStr">
        <is>
          <t>4-207-209</t>
        </is>
      </c>
    </row>
    <row r="44" ht="30" customHeight="1">
      <c r="A44" s="3" t="inlineStr">
        <is>
          <t>Коммутаторы</t>
        </is>
      </c>
      <c r="B44" s="3" t="inlineStr">
        <is>
          <t>Коммутатор HPE Aruba IOn 1930 JL684B 24G 4SFP+ PoE 370W</t>
        </is>
      </c>
      <c r="C44" s="4" t="inlineStr"/>
      <c r="D44" s="4" t="n">
        <v>11138400</v>
      </c>
      <c r="E44" s="4" t="n">
        <v>9945000</v>
      </c>
      <c r="F44" s="4" t="inlineStr">
        <is>
          <t>HPE</t>
        </is>
      </c>
      <c r="G44" s="4">
        <f>HYPERLINK("https://itrix.uz/product/172", "🔗 Купить продукт")</f>
        <v/>
      </c>
      <c r="H44" s="4" t="inlineStr">
        <is>
          <t>4-172-174</t>
        </is>
      </c>
    </row>
    <row r="45" ht="30" customHeight="1">
      <c r="A45" s="3" t="inlineStr">
        <is>
          <t>Коммутаторы</t>
        </is>
      </c>
      <c r="B45" s="3" t="inlineStr">
        <is>
          <t>Управляемый коммутатор Zyxel GS1350-6HP 5G 1SFP PoE Switch</t>
        </is>
      </c>
      <c r="C45" s="4" t="inlineStr"/>
      <c r="D45" s="4" t="n">
        <v>2839200</v>
      </c>
      <c r="E45" s="4" t="n">
        <v>2535000</v>
      </c>
      <c r="F45" s="4" t="inlineStr">
        <is>
          <t>Zyxel</t>
        </is>
      </c>
      <c r="G45" s="4">
        <f>HYPERLINK("https://itrix.uz/product/225", "🔗 Купить продукт")</f>
        <v/>
      </c>
      <c r="H45" s="4" t="inlineStr">
        <is>
          <t>4-225-227</t>
        </is>
      </c>
    </row>
    <row r="46" ht="30" customHeight="1">
      <c r="A46" s="3" t="inlineStr">
        <is>
          <t>Коммутаторы</t>
        </is>
      </c>
      <c r="B46" s="3" t="inlineStr">
        <is>
          <t>Управляемый коммутатор HPE Aruba 2930F JL261A 24G PoE + 4SFP Switch</t>
        </is>
      </c>
      <c r="C46" s="4" t="inlineStr"/>
      <c r="D46" s="4" t="n">
        <v>16540160</v>
      </c>
      <c r="E46" s="4" t="n">
        <v>14768000</v>
      </c>
      <c r="F46" s="4" t="inlineStr">
        <is>
          <t>HPE</t>
        </is>
      </c>
      <c r="G46" s="4">
        <f>HYPERLINK("https://itrix.uz/product/160", "🔗 Купить продукт")</f>
        <v/>
      </c>
      <c r="H46" s="4" t="inlineStr">
        <is>
          <t>4-160-10</t>
        </is>
      </c>
    </row>
    <row r="47" ht="30" customHeight="1">
      <c r="A47" s="3" t="inlineStr">
        <is>
          <t>Коммутаторы</t>
        </is>
      </c>
      <c r="B47" s="3" t="inlineStr">
        <is>
          <t>Управляемый коммутатор Ubiquiti UniFi Switch 48 USW-PRO-48-EU</t>
        </is>
      </c>
      <c r="C47" s="4" t="inlineStr"/>
      <c r="D47" s="4" t="n">
        <v>12448800</v>
      </c>
      <c r="E47" s="4" t="n">
        <v>11115000</v>
      </c>
      <c r="F47" s="4" t="inlineStr">
        <is>
          <t>UniFi UBIQUITI</t>
        </is>
      </c>
      <c r="G47" s="4">
        <f>HYPERLINK("https://itrix.uz/product/191", "🔗 Купить продукт")</f>
        <v/>
      </c>
      <c r="H47" s="4" t="inlineStr">
        <is>
          <t>4-191-193</t>
        </is>
      </c>
    </row>
    <row r="48" ht="30" customHeight="1">
      <c r="A48" s="3" t="inlineStr">
        <is>
          <t>Коммутаторы</t>
        </is>
      </c>
      <c r="B48" s="3" t="inlineStr">
        <is>
          <t>Управляемый коммутатор Ubiquiti UniFi Switch 24 USW-PRO-24-EU</t>
        </is>
      </c>
      <c r="C48" s="4" t="inlineStr"/>
      <c r="D48" s="4" t="n">
        <v>8473920</v>
      </c>
      <c r="E48" s="4" t="n">
        <v>7566000</v>
      </c>
      <c r="F48" s="4" t="inlineStr">
        <is>
          <t>UniFi UBIQUITI</t>
        </is>
      </c>
      <c r="G48" s="4">
        <f>HYPERLINK("https://itrix.uz/product/190", "🔗 Купить продукт")</f>
        <v/>
      </c>
      <c r="H48" s="4" t="inlineStr">
        <is>
          <t>4-190-192</t>
        </is>
      </c>
    </row>
    <row r="49" ht="30" customHeight="1">
      <c r="A49" s="3" t="inlineStr">
        <is>
          <t>Коммутаторы</t>
        </is>
      </c>
      <c r="B49" s="3" t="inlineStr">
        <is>
          <t>Управляемый коммутатор HPE Aruba 2930F JL262A 48G PoE+ 4SFP Switch</t>
        </is>
      </c>
      <c r="C49" s="4" t="inlineStr"/>
      <c r="D49" s="4" t="n">
        <v>28974400</v>
      </c>
      <c r="E49" s="4" t="n">
        <v>25870000</v>
      </c>
      <c r="F49" s="4" t="inlineStr">
        <is>
          <t>HPE</t>
        </is>
      </c>
      <c r="G49" s="4">
        <f>HYPERLINK("https://itrix.uz/product/170", "🔗 Купить продукт")</f>
        <v/>
      </c>
      <c r="H49" s="4" t="inlineStr">
        <is>
          <t>4-170-172</t>
        </is>
      </c>
    </row>
    <row r="50" ht="30" customHeight="1">
      <c r="A50" s="3" t="inlineStr">
        <is>
          <t>Сетевые хранилища (NAS) и системы хранения данных (DSS)</t>
        </is>
      </c>
      <c r="B50" s="3" t="inlineStr">
        <is>
          <t>Сетевое хранилище NAS Synology DS920+</t>
        </is>
      </c>
      <c r="C50" s="4" t="inlineStr"/>
      <c r="D50" s="4" t="n">
        <v>10847200</v>
      </c>
      <c r="E50" s="4" t="n">
        <v>9685000</v>
      </c>
      <c r="F50" s="4" t="inlineStr">
        <is>
          <t>Synology</t>
        </is>
      </c>
      <c r="G50" s="4">
        <f>HYPERLINK("https://itrix.uz/product/276", "🔗 Купить продукт")</f>
        <v/>
      </c>
      <c r="H50" s="4" t="inlineStr">
        <is>
          <t>4-276-278</t>
        </is>
      </c>
    </row>
    <row r="51" ht="30" customHeight="1">
      <c r="A51" s="3" t="inlineStr">
        <is>
          <t>Коммутаторы</t>
        </is>
      </c>
      <c r="B51" s="3" t="inlineStr">
        <is>
          <t>Управляемый коммутатор H3C L3 S6520X-16XT-SI 14x1G/2.5G/5G/10G, 2xSFP+ 1G/10G Switch</t>
        </is>
      </c>
      <c r="C51" s="4" t="inlineStr"/>
      <c r="D51" s="4" t="n">
        <v>21650720</v>
      </c>
      <c r="E51" s="4" t="n">
        <v>19331000</v>
      </c>
      <c r="F51" s="4" t="inlineStr">
        <is>
          <t>H3C</t>
        </is>
      </c>
      <c r="G51" s="4">
        <f>HYPERLINK("https://itrix.uz/product/218", "🔗 Купить продукт")</f>
        <v/>
      </c>
      <c r="H51" s="4" t="inlineStr">
        <is>
          <t>4-218-220</t>
        </is>
      </c>
    </row>
    <row r="52" ht="30" customHeight="1">
      <c r="A52" s="3" t="inlineStr">
        <is>
          <t>Патч-корды медные</t>
        </is>
      </c>
      <c r="B52" s="3" t="inlineStr">
        <is>
          <t>Патч-корд Cat 6, FTP, RJ45, 26AWG, 7/0.16 Cu, 5.00 m, LSZH, Grey</t>
        </is>
      </c>
      <c r="C52" s="4" t="inlineStr"/>
      <c r="D52" s="4" t="n">
        <v>145600</v>
      </c>
      <c r="E52" s="4" t="n">
        <v>130000</v>
      </c>
      <c r="F52" s="4" t="inlineStr">
        <is>
          <t>Intel</t>
        </is>
      </c>
      <c r="G52" s="4">
        <f>HYPERLINK("https://itrix.uz/product/263", "🔗 Купить продукт")</f>
        <v/>
      </c>
      <c r="H52" s="4" t="inlineStr">
        <is>
          <t>4-263-264</t>
        </is>
      </c>
    </row>
    <row r="53" ht="30" customHeight="1">
      <c r="A53" s="3" t="inlineStr">
        <is>
          <t>Патч-корды медные</t>
        </is>
      </c>
      <c r="B53" s="3" t="inlineStr">
        <is>
          <t>Патч-корд Cat 6, FTP, RJ45, 26AWG, 7/0.16 Cu, 2.00 m, LSZH, Grey</t>
        </is>
      </c>
      <c r="C53" s="4" t="inlineStr"/>
      <c r="D53" s="4" t="n">
        <v>145600</v>
      </c>
      <c r="E53" s="4" t="n">
        <v>130000</v>
      </c>
      <c r="F53" s="4" t="inlineStr">
        <is>
          <t>Intel</t>
        </is>
      </c>
      <c r="G53" s="4">
        <f>HYPERLINK("https://itrix.uz/product/261", "🔗 Купить продукт")</f>
        <v/>
      </c>
      <c r="H53" s="4" t="inlineStr">
        <is>
          <t>4-261-262</t>
        </is>
      </c>
    </row>
    <row r="54" ht="30" customHeight="1">
      <c r="A54" s="3" t="inlineStr">
        <is>
          <t>Патч-корды медные</t>
        </is>
      </c>
      <c r="B54" s="3" t="inlineStr">
        <is>
          <t>Патч-корд Cat 6, FTP, RJ45, 26AWG, 7/0.16 Cu, 3.00 m, LSZH, Grey</t>
        </is>
      </c>
      <c r="C54" s="4" t="inlineStr"/>
      <c r="D54" s="4" t="n">
        <v>145600</v>
      </c>
      <c r="E54" s="4" t="n">
        <v>130000</v>
      </c>
      <c r="F54" s="4" t="inlineStr">
        <is>
          <t>Intel</t>
        </is>
      </c>
      <c r="G54" s="4">
        <f>HYPERLINK("https://itrix.uz/product/262", "🔗 Купить продукт")</f>
        <v/>
      </c>
      <c r="H54" s="4" t="inlineStr">
        <is>
          <t>4-262-263</t>
        </is>
      </c>
    </row>
    <row r="55" ht="30" customHeight="1">
      <c r="A55" s="3" t="inlineStr">
        <is>
          <t>Коммутаторы</t>
        </is>
      </c>
      <c r="B55" s="3" t="inlineStr">
        <is>
          <t>Коммутатор Zyxel GS1300-10HP 8G 1SFP Switch</t>
        </is>
      </c>
      <c r="C55" s="4" t="inlineStr"/>
      <c r="D55" s="4" t="n">
        <v>3814720</v>
      </c>
      <c r="E55" s="4" t="n">
        <v>3406000</v>
      </c>
      <c r="F55" s="4" t="inlineStr">
        <is>
          <t>Zyxel</t>
        </is>
      </c>
      <c r="G55" s="4">
        <f>HYPERLINK("https://itrix.uz/product/221", "🔗 Купить продукт")</f>
        <v/>
      </c>
      <c r="H55" s="4" t="inlineStr">
        <is>
          <t>4-221-223</t>
        </is>
      </c>
    </row>
    <row r="56" ht="30" customHeight="1">
      <c r="A56" s="3" t="inlineStr">
        <is>
          <t>Коммутаторы</t>
        </is>
      </c>
      <c r="B56" s="3" t="inlineStr">
        <is>
          <t>Управляемый коммутатор Zyxel GS1350-26HP 24G 2SFP PoE Switch</t>
        </is>
      </c>
      <c r="C56" s="4" t="inlineStr"/>
      <c r="D56" s="4" t="n">
        <v>11429600</v>
      </c>
      <c r="E56" s="4" t="n">
        <v>10205000</v>
      </c>
      <c r="F56" s="4" t="inlineStr">
        <is>
          <t>Zyxel</t>
        </is>
      </c>
      <c r="G56" s="4">
        <f>HYPERLINK("https://itrix.uz/product/224", "🔗 Купить продукт")</f>
        <v/>
      </c>
      <c r="H56" s="4" t="inlineStr">
        <is>
          <t>4-224-226</t>
        </is>
      </c>
    </row>
    <row r="57" ht="30" customHeight="1">
      <c r="A57" s="3" t="inlineStr">
        <is>
          <t>Сетевые хранилища (NAS) и системы хранения данных (DSS)</t>
        </is>
      </c>
      <c r="B57" s="3" t="inlineStr">
        <is>
          <t>Сетевое хранилище NAS Synology DS1821+</t>
        </is>
      </c>
      <c r="C57" s="4" t="inlineStr"/>
      <c r="D57" s="4" t="n">
        <v>20063680</v>
      </c>
      <c r="E57" s="4" t="n">
        <v>17914000</v>
      </c>
      <c r="F57" s="4" t="inlineStr">
        <is>
          <t>Synology</t>
        </is>
      </c>
      <c r="G57" s="4">
        <f>HYPERLINK("https://itrix.uz/product/273", "🔗 Купить продукт")</f>
        <v/>
      </c>
      <c r="H57" s="4" t="inlineStr">
        <is>
          <t>4-273-275</t>
        </is>
      </c>
    </row>
    <row r="58" ht="30" customHeight="1">
      <c r="A58" s="3" t="inlineStr">
        <is>
          <t>Сетевые хранилища (NAS) и системы хранения данных (DSS)</t>
        </is>
      </c>
      <c r="B58" s="3" t="inlineStr">
        <is>
          <t xml:space="preserve">Сетевое хранилище NAS Synology RackStation RS2423+ </t>
        </is>
      </c>
      <c r="C58" s="4" t="inlineStr"/>
      <c r="D58" s="4" t="n">
        <v>42384160</v>
      </c>
      <c r="E58" s="4" t="n">
        <v>37843000</v>
      </c>
      <c r="F58" s="4" t="inlineStr">
        <is>
          <t>Synology</t>
        </is>
      </c>
      <c r="G58" s="4">
        <f>HYPERLINK("https://itrix.uz/product/279", "🔗 Купить продукт")</f>
        <v/>
      </c>
      <c r="H58" s="4" t="inlineStr">
        <is>
          <t>4-279-281</t>
        </is>
      </c>
    </row>
    <row r="59" ht="30" customHeight="1">
      <c r="A59" s="3" t="inlineStr">
        <is>
          <t>Сетевое оборудование</t>
        </is>
      </c>
      <c r="B59" s="3" t="inlineStr">
        <is>
          <t>Комплект направляющих для для стоечных устройств не более 2U</t>
        </is>
      </c>
      <c r="C59" s="4" t="inlineStr"/>
      <c r="D59" s="4" t="n">
        <v>728000</v>
      </c>
      <c r="E59" s="4" t="n">
        <v>650000</v>
      </c>
      <c r="F59" s="4" t="inlineStr"/>
      <c r="G59" s="4">
        <f>HYPERLINK("https://itrix.uz/product/282", "🔗 Купить продукт")</f>
        <v/>
      </c>
      <c r="H59" s="4" t="inlineStr">
        <is>
          <t>4-282-284</t>
        </is>
      </c>
    </row>
    <row r="60" ht="30" customHeight="1">
      <c r="A60" s="3" t="inlineStr">
        <is>
          <t>Коммутаторы</t>
        </is>
      </c>
      <c r="B60" s="3" t="inlineStr">
        <is>
          <t>Коммутатор H3C L2 S1850V2-10P-EI 8 GE, 2 SFP switch</t>
        </is>
      </c>
      <c r="C60" s="4" t="inlineStr"/>
      <c r="D60" s="4" t="n">
        <v>2402400</v>
      </c>
      <c r="E60" s="4" t="n">
        <v>2145000</v>
      </c>
      <c r="F60" s="4" t="inlineStr">
        <is>
          <t>H3C</t>
        </is>
      </c>
      <c r="G60" s="4">
        <f>HYPERLINK("https://itrix.uz/product/198", "🔗 Купить продукт")</f>
        <v/>
      </c>
      <c r="H60" s="4" t="inlineStr">
        <is>
          <t>4-198-200</t>
        </is>
      </c>
    </row>
    <row r="61" ht="30" customHeight="1">
      <c r="A61" s="3" t="inlineStr">
        <is>
          <t>Коммутаторы</t>
        </is>
      </c>
      <c r="B61" s="3" t="inlineStr">
        <is>
          <t>Управляемый коммутатор HPE Aruba 2930F JL256A 48G PoE+ 4SFP+ Switch</t>
        </is>
      </c>
      <c r="C61" s="4" t="inlineStr"/>
      <c r="D61" s="4" t="n">
        <v>39224640</v>
      </c>
      <c r="E61" s="4" t="n">
        <v>35022000</v>
      </c>
      <c r="F61" s="4" t="inlineStr">
        <is>
          <t>HPE</t>
        </is>
      </c>
      <c r="G61" s="4">
        <f>HYPERLINK("https://itrix.uz/product/161", "🔗 Купить продукт")</f>
        <v/>
      </c>
      <c r="H61" s="4" t="inlineStr">
        <is>
          <t>4-161-165</t>
        </is>
      </c>
    </row>
    <row r="62" ht="30" customHeight="1">
      <c r="A62" s="3" t="inlineStr">
        <is>
          <t>Коммутаторы</t>
        </is>
      </c>
      <c r="B62" s="3" t="inlineStr">
        <is>
          <t>Управляемый PoE коммутатор H3C L2 S5170-28S-HPWR-EI 24G+PoE+4SFP Switch</t>
        </is>
      </c>
      <c r="C62" s="4" t="inlineStr"/>
      <c r="D62" s="4" t="n">
        <v>8779680</v>
      </c>
      <c r="E62" s="4" t="n">
        <v>7839000</v>
      </c>
      <c r="F62" s="4" t="inlineStr">
        <is>
          <t>H3C</t>
        </is>
      </c>
      <c r="G62" s="4">
        <f>HYPERLINK("https://itrix.uz/product/211", "🔗 Купить продукт")</f>
        <v/>
      </c>
      <c r="H62" s="4" t="inlineStr">
        <is>
          <t>4-211-213</t>
        </is>
      </c>
    </row>
    <row r="63" ht="30" customHeight="1">
      <c r="A63" s="3" t="inlineStr">
        <is>
          <t>Коммутаторы</t>
        </is>
      </c>
      <c r="B63" s="3" t="inlineStr">
        <is>
          <t>Коммутатор Zyxel GS-105B V3 5G Switch</t>
        </is>
      </c>
      <c r="C63" s="4" t="inlineStr"/>
      <c r="D63" s="4" t="n">
        <v>596960</v>
      </c>
      <c r="E63" s="4" t="n">
        <v>533000</v>
      </c>
      <c r="F63" s="4" t="inlineStr">
        <is>
          <t>Zyxel</t>
        </is>
      </c>
      <c r="G63" s="4">
        <f>HYPERLINK("https://itrix.uz/product/219", "🔗 Купить продукт")</f>
        <v/>
      </c>
      <c r="H63" s="4" t="inlineStr">
        <is>
          <t>4-219-221</t>
        </is>
      </c>
    </row>
    <row r="64" ht="30" customHeight="1">
      <c r="A64" s="3" t="inlineStr">
        <is>
          <t>Коммутаторы</t>
        </is>
      </c>
      <c r="B64" s="3" t="inlineStr">
        <is>
          <t>Управляемый коммутатор Ubiquiti EdgeSwitch 8 PoE  ES-8-150W</t>
        </is>
      </c>
      <c r="C64" s="4" t="inlineStr"/>
      <c r="D64" s="4" t="n">
        <v>4047680</v>
      </c>
      <c r="E64" s="4" t="n">
        <v>3614000</v>
      </c>
      <c r="F64" s="4" t="inlineStr">
        <is>
          <t>UniFi UBIQUITI</t>
        </is>
      </c>
      <c r="G64" s="4">
        <f>HYPERLINK("https://itrix.uz/product/179", "🔗 Купить продукт")</f>
        <v/>
      </c>
      <c r="H64" s="4" t="inlineStr">
        <is>
          <t>4-179-181</t>
        </is>
      </c>
    </row>
    <row r="65" ht="30" customHeight="1">
      <c r="A65" s="3" t="inlineStr">
        <is>
          <t>Коммутаторы</t>
        </is>
      </c>
      <c r="B65" s="3" t="inlineStr">
        <is>
          <t>Управляемый коммутатор HPE Aruba 6100 JL676A 48G 4SFP+ Switch</t>
        </is>
      </c>
      <c r="C65" s="4" t="inlineStr"/>
      <c r="D65" s="4" t="n">
        <v>51047360</v>
      </c>
      <c r="E65" s="4" t="n">
        <v>45578000</v>
      </c>
      <c r="F65" s="4" t="inlineStr">
        <is>
          <t>HPE</t>
        </is>
      </c>
      <c r="G65" s="4">
        <f>HYPERLINK("https://itrix.uz/product/163", "🔗 Купить продукт")</f>
        <v/>
      </c>
      <c r="H65" s="4" t="inlineStr">
        <is>
          <t>4-163-166</t>
        </is>
      </c>
    </row>
    <row r="66" ht="30" customHeight="1">
      <c r="A66" s="3" t="inlineStr">
        <is>
          <t>Коммутаторы</t>
        </is>
      </c>
      <c r="B66" s="3" t="inlineStr">
        <is>
          <t>Коммутатор HPE Aruba IOn 1960 JL806A 24G 2XGT 2SFP+</t>
        </is>
      </c>
      <c r="C66" s="4" t="inlineStr"/>
      <c r="D66" s="4" t="n">
        <v>12623520</v>
      </c>
      <c r="E66" s="4" t="n">
        <v>11271000</v>
      </c>
      <c r="F66" s="4" t="inlineStr">
        <is>
          <t>HPE</t>
        </is>
      </c>
      <c r="G66" s="4">
        <f>HYPERLINK("https://itrix.uz/product/165", "🔗 Купить продукт")</f>
        <v/>
      </c>
      <c r="H66" s="4" t="inlineStr">
        <is>
          <t>4-165-167</t>
        </is>
      </c>
    </row>
    <row r="67" ht="30" customHeight="1">
      <c r="A67" s="3" t="inlineStr">
        <is>
          <t>Сетевые хранилища (NAS) и системы хранения данных (DSS)</t>
        </is>
      </c>
      <c r="B67" s="3" t="inlineStr">
        <is>
          <t>Сетевое хранилище NAS Synology DS1621+</t>
        </is>
      </c>
      <c r="C67" s="4" t="inlineStr"/>
      <c r="D67" s="4" t="n">
        <v>18826080</v>
      </c>
      <c r="E67" s="4" t="n">
        <v>16809000</v>
      </c>
      <c r="F67" s="4" t="inlineStr">
        <is>
          <t>Synology</t>
        </is>
      </c>
      <c r="G67" s="4">
        <f>HYPERLINK("https://itrix.uz/product/268", "🔗 Купить продукт")</f>
        <v/>
      </c>
      <c r="H67" s="4" t="inlineStr">
        <is>
          <t>4-268-270</t>
        </is>
      </c>
    </row>
    <row r="68" ht="30" customHeight="1">
      <c r="A68" s="3" t="inlineStr">
        <is>
          <t>Коммутаторы</t>
        </is>
      </c>
      <c r="B68" s="3" t="inlineStr">
        <is>
          <t>Коммутатор Zyxel GS1008HP 8G Switch</t>
        </is>
      </c>
      <c r="C68" s="4" t="inlineStr"/>
      <c r="D68" s="4" t="n">
        <v>1354080</v>
      </c>
      <c r="E68" s="4" t="n">
        <v>1209000</v>
      </c>
      <c r="F68" s="4" t="inlineStr">
        <is>
          <t>Zyxel</t>
        </is>
      </c>
      <c r="G68" s="4">
        <f>HYPERLINK("https://itrix.uz/product/220", "🔗 Купить продукт")</f>
        <v/>
      </c>
      <c r="H68" s="4" t="inlineStr">
        <is>
          <t>4-220-222</t>
        </is>
      </c>
    </row>
    <row r="69" ht="30" customHeight="1">
      <c r="A69" s="3" t="inlineStr">
        <is>
          <t>Коммутаторы</t>
        </is>
      </c>
      <c r="B69" s="3" t="inlineStr">
        <is>
          <t>Управляемый коммутатор H3C L3 S6520X-26C-SI 24x1G/10G SFP+ 1xSlot</t>
        </is>
      </c>
      <c r="C69" s="4" t="inlineStr"/>
      <c r="D69" s="4" t="n">
        <v>23456160</v>
      </c>
      <c r="E69" s="4" t="n">
        <v>20943000</v>
      </c>
      <c r="F69" s="4" t="inlineStr">
        <is>
          <t>H3C</t>
        </is>
      </c>
      <c r="G69" s="4">
        <f>HYPERLINK("https://itrix.uz/product/215", "🔗 Купить продукт")</f>
        <v/>
      </c>
      <c r="H69" s="4" t="inlineStr">
        <is>
          <t>4-215-217</t>
        </is>
      </c>
    </row>
    <row r="70" ht="30" customHeight="1">
      <c r="A70" s="3" t="inlineStr">
        <is>
          <t>Коммутаторы</t>
        </is>
      </c>
      <c r="B70" s="3" t="inlineStr">
        <is>
          <t>Коммутатор Zyxel GS1350-18HP 16G 2SFP PoE Switch</t>
        </is>
      </c>
      <c r="C70" s="4" t="inlineStr"/>
      <c r="D70" s="4" t="n">
        <v>7804160</v>
      </c>
      <c r="E70" s="4" t="n">
        <v>6968000</v>
      </c>
      <c r="F70" s="4" t="inlineStr">
        <is>
          <t>Zyxel</t>
        </is>
      </c>
      <c r="G70" s="4">
        <f>HYPERLINK("https://itrix.uz/product/223", "🔗 Купить продукт")</f>
        <v/>
      </c>
      <c r="H70" s="4" t="inlineStr">
        <is>
          <t>4-223-225</t>
        </is>
      </c>
    </row>
    <row r="71" ht="30" customHeight="1">
      <c r="A71" s="3" t="inlineStr">
        <is>
          <t>Коммутаторы</t>
        </is>
      </c>
      <c r="B71" s="3" t="inlineStr">
        <is>
          <t>Коммутатор Zyxel GS1350-12HP 10G 2SFP PoE Switch</t>
        </is>
      </c>
      <c r="C71" s="4" t="inlineStr"/>
      <c r="D71" s="4" t="n">
        <v>5299840</v>
      </c>
      <c r="E71" s="4" t="n">
        <v>4732000</v>
      </c>
      <c r="F71" s="4" t="inlineStr">
        <is>
          <t>Zyxel</t>
        </is>
      </c>
      <c r="G71" s="4">
        <f>HYPERLINK("https://itrix.uz/product/222", "🔗 Купить продукт")</f>
        <v/>
      </c>
      <c r="H71" s="4" t="inlineStr">
        <is>
          <t>4-222-224</t>
        </is>
      </c>
    </row>
    <row r="72" ht="30" customHeight="1">
      <c r="A72" s="3" t="inlineStr">
        <is>
          <t>Коммутаторы</t>
        </is>
      </c>
      <c r="B72" s="3" t="inlineStr">
        <is>
          <t xml:space="preserve">Коммутатор HPE Aruba IOn 1960 JL807A 24G PoE 2XGT 2SFP+ 370W </t>
        </is>
      </c>
      <c r="C72" s="4" t="inlineStr"/>
      <c r="D72" s="4" t="n">
        <v>21519680</v>
      </c>
      <c r="E72" s="4" t="n">
        <v>19214000</v>
      </c>
      <c r="F72" s="4" t="inlineStr">
        <is>
          <t>HPE</t>
        </is>
      </c>
      <c r="G72" s="4">
        <f>HYPERLINK("https://itrix.uz/product/166", "🔗 Купить продукт")</f>
        <v/>
      </c>
      <c r="H72" s="4" t="inlineStr">
        <is>
          <t>4-166-168</t>
        </is>
      </c>
    </row>
    <row r="73" ht="30" customHeight="1">
      <c r="A73" s="3" t="inlineStr">
        <is>
          <t>Сетевые хранилища (NAS) и системы хранения данных (DSS)</t>
        </is>
      </c>
      <c r="B73" s="3" t="inlineStr">
        <is>
          <t>Сетевое хранилище NAS Synology DS923+</t>
        </is>
      </c>
      <c r="C73" s="4" t="inlineStr"/>
      <c r="D73" s="4" t="n">
        <v>11429600</v>
      </c>
      <c r="E73" s="4" t="n">
        <v>10205000</v>
      </c>
      <c r="F73" s="4" t="inlineStr">
        <is>
          <t>Synology</t>
        </is>
      </c>
      <c r="G73" s="4">
        <f>HYPERLINK("https://itrix.uz/product/266", "🔗 Купить продукт")</f>
        <v/>
      </c>
      <c r="H73" s="4" t="inlineStr">
        <is>
          <t>4-266-268</t>
        </is>
      </c>
    </row>
    <row r="74" ht="30" customHeight="1">
      <c r="A74" s="3" t="inlineStr">
        <is>
          <t>Коммутаторы</t>
        </is>
      </c>
      <c r="B74" s="3" t="inlineStr">
        <is>
          <t>Мультисервисный шлюз Ubiquiti UniFi Dream Machine Pro UDM-Pro</t>
        </is>
      </c>
      <c r="C74" s="4" t="inlineStr"/>
      <c r="D74" s="4" t="n">
        <v>8037120</v>
      </c>
      <c r="E74" s="4" t="n">
        <v>7176000</v>
      </c>
      <c r="F74" s="4" t="inlineStr">
        <is>
          <t>UniFi UBIQUITI</t>
        </is>
      </c>
      <c r="G74" s="4">
        <f>HYPERLINK("https://itrix.uz/product/310", "🔗 Купить продукт")</f>
        <v/>
      </c>
      <c r="H74" s="4" t="inlineStr">
        <is>
          <t>4-310-312</t>
        </is>
      </c>
    </row>
    <row r="75" ht="30" customHeight="1">
      <c r="A75" s="3" t="inlineStr">
        <is>
          <t>Сетевые хранилища (NAS) и системы хранения данных (DSS)</t>
        </is>
      </c>
      <c r="B75" s="3" t="inlineStr">
        <is>
          <t>Сетевое хранилище NAS Synology DS1019+</t>
        </is>
      </c>
      <c r="C75" s="4" t="inlineStr"/>
      <c r="D75" s="4" t="n">
        <v>14312480</v>
      </c>
      <c r="E75" s="4" t="n">
        <v>12779000</v>
      </c>
      <c r="F75" s="4" t="inlineStr">
        <is>
          <t>Synology</t>
        </is>
      </c>
      <c r="G75" s="4">
        <f>HYPERLINK("https://itrix.uz/product/270", "🔗 Купить продукт")</f>
        <v/>
      </c>
      <c r="H75" s="4" t="inlineStr">
        <is>
          <t>4-270-272</t>
        </is>
      </c>
    </row>
    <row r="76" ht="30" customHeight="1">
      <c r="A76" s="3" t="inlineStr">
        <is>
          <t>Коммутаторы</t>
        </is>
      </c>
      <c r="B76" s="3" t="inlineStr">
        <is>
          <t>Коммутатор HPE Aruba IOn 1930 JL683B 24G 4SFP+ PoE 195W</t>
        </is>
      </c>
      <c r="C76" s="4" t="inlineStr"/>
      <c r="D76" s="4" t="n">
        <v>8779680</v>
      </c>
      <c r="E76" s="4" t="n">
        <v>7839000</v>
      </c>
      <c r="F76" s="4" t="inlineStr">
        <is>
          <t>HPE</t>
        </is>
      </c>
      <c r="G76" s="4">
        <f>HYPERLINK("https://itrix.uz/product/171", "🔗 Купить продукт")</f>
        <v/>
      </c>
      <c r="H76" s="4" t="inlineStr">
        <is>
          <t>4-171-173</t>
        </is>
      </c>
    </row>
    <row r="77" ht="30" customHeight="1">
      <c r="A77" s="3" t="inlineStr">
        <is>
          <t>Коммутаторы</t>
        </is>
      </c>
      <c r="B77" s="3" t="inlineStr">
        <is>
          <t>Управляемый коммутатор H3C L2 S5170-28S-EI 24G+PoE+4SFP Switch</t>
        </is>
      </c>
      <c r="C77" s="4" t="inlineStr"/>
      <c r="D77" s="4" t="n">
        <v>6712160</v>
      </c>
      <c r="E77" s="4" t="n">
        <v>5993000</v>
      </c>
      <c r="F77" s="4" t="inlineStr">
        <is>
          <t>H3C</t>
        </is>
      </c>
      <c r="G77" s="4">
        <f>HYPERLINK("https://itrix.uz/product/217", "🔗 Купить продукт")</f>
        <v/>
      </c>
      <c r="H77" s="4" t="inlineStr">
        <is>
          <t>4-217-219</t>
        </is>
      </c>
    </row>
    <row r="78" ht="30" customHeight="1">
      <c r="A78" s="3" t="inlineStr">
        <is>
          <t>Коммутаторы</t>
        </is>
      </c>
      <c r="B78" s="3" t="inlineStr">
        <is>
          <t>Комплект коммутаторов Ubiquiti UniFi Switch Flex Mini 5-pack USW-Flex-Mini-5</t>
        </is>
      </c>
      <c r="C78" s="4" t="inlineStr"/>
      <c r="D78" s="4" t="n">
        <v>3450720</v>
      </c>
      <c r="E78" s="4" t="n">
        <v>3081000</v>
      </c>
      <c r="F78" s="4" t="inlineStr">
        <is>
          <t>UniFi UBIQUITI</t>
        </is>
      </c>
      <c r="G78" s="4">
        <f>HYPERLINK("https://itrix.uz/product/192", "🔗 Купить продукт")</f>
        <v/>
      </c>
      <c r="H78" s="4" t="inlineStr">
        <is>
          <t>4-192-194</t>
        </is>
      </c>
    </row>
    <row r="79" ht="30" customHeight="1">
      <c r="A79" s="3" t="inlineStr">
        <is>
          <t>Коммутаторы</t>
        </is>
      </c>
      <c r="B79" s="3" t="inlineStr">
        <is>
          <t>Управляемый коммутатор Ubiquiti UniFi Switch Pro 24 PoE USW-Pro-24-POE</t>
        </is>
      </c>
      <c r="C79" s="4" t="inlineStr"/>
      <c r="D79" s="4" t="n">
        <v>16059680</v>
      </c>
      <c r="E79" s="4" t="n">
        <v>14339000</v>
      </c>
      <c r="F79" s="4" t="inlineStr">
        <is>
          <t>UniFi UBIQUITI</t>
        </is>
      </c>
      <c r="G79" s="4">
        <f>HYPERLINK("https://itrix.uz/product/194", "🔗 Купить продукт")</f>
        <v/>
      </c>
      <c r="H79" s="4" t="inlineStr">
        <is>
          <t>4-194-196</t>
        </is>
      </c>
    </row>
    <row r="80" ht="30" customHeight="1">
      <c r="A80" s="3" t="inlineStr">
        <is>
          <t>Коммутаторы</t>
        </is>
      </c>
      <c r="B80" s="3" t="inlineStr">
        <is>
          <t>Управляемый коммутатор Ubiquiti UniFi Switch 8 USW-Lite-8-POE</t>
        </is>
      </c>
      <c r="C80" s="4" t="inlineStr"/>
      <c r="D80" s="4" t="n">
        <v>2373280</v>
      </c>
      <c r="E80" s="4" t="n">
        <v>2119000</v>
      </c>
      <c r="F80" s="4" t="inlineStr">
        <is>
          <t>UniFi UBIQUITI</t>
        </is>
      </c>
      <c r="G80" s="4">
        <f>HYPERLINK("https://itrix.uz/product/180", "🔗 Купить продукт")</f>
        <v/>
      </c>
      <c r="H80" s="4" t="inlineStr">
        <is>
          <t>4-180-182</t>
        </is>
      </c>
    </row>
    <row r="81" ht="30" customHeight="1">
      <c r="A81" s="3" t="inlineStr">
        <is>
          <t>Коммутаторы</t>
        </is>
      </c>
      <c r="B81" s="3" t="inlineStr">
        <is>
          <t>Управляемый коммутатор Ubiquiti UniFi Switch 16 PoE USW-16-POE-EU</t>
        </is>
      </c>
      <c r="C81" s="4" t="inlineStr"/>
      <c r="D81" s="4" t="n">
        <v>6013280</v>
      </c>
      <c r="E81" s="4" t="n">
        <v>5369000</v>
      </c>
      <c r="F81" s="4" t="inlineStr">
        <is>
          <t>UniFi UBIQUITI</t>
        </is>
      </c>
      <c r="G81" s="4">
        <f>HYPERLINK("https://itrix.uz/product/185", "🔗 Купить продукт")</f>
        <v/>
      </c>
      <c r="H81" s="4" t="inlineStr">
        <is>
          <t>4-185-187</t>
        </is>
      </c>
    </row>
    <row r="82" ht="30" customHeight="1">
      <c r="A82" s="3" t="inlineStr">
        <is>
          <t>Коммутаторы</t>
        </is>
      </c>
      <c r="B82" s="3" t="inlineStr">
        <is>
          <t>Управляемый коммутатор Ubiquiti UniFi Switch 24 POE USW-24-POE-EU</t>
        </is>
      </c>
      <c r="C82" s="4" t="inlineStr"/>
      <c r="D82" s="4" t="n">
        <v>8139040</v>
      </c>
      <c r="E82" s="4" t="n">
        <v>7267000</v>
      </c>
      <c r="F82" s="4" t="inlineStr">
        <is>
          <t>UniFi UBIQUITI</t>
        </is>
      </c>
      <c r="G82" s="4">
        <f>HYPERLINK("https://itrix.uz/product/186", "🔗 Купить продукт")</f>
        <v/>
      </c>
      <c r="H82" s="4" t="inlineStr">
        <is>
          <t>4-186-188</t>
        </is>
      </c>
    </row>
    <row r="83" ht="30" customHeight="1">
      <c r="A83" s="3" t="inlineStr">
        <is>
          <t>Коммутаторы</t>
        </is>
      </c>
      <c r="B83" s="3" t="inlineStr">
        <is>
          <t>Управляемый коммутатор H3C L2 S5170-54S-EI 48G+6SPF Switch</t>
        </is>
      </c>
      <c r="C83" s="4" t="inlineStr"/>
      <c r="D83" s="4" t="n">
        <v>9609600</v>
      </c>
      <c r="E83" s="4" t="n">
        <v>8580000</v>
      </c>
      <c r="F83" s="4" t="inlineStr">
        <is>
          <t>H3C</t>
        </is>
      </c>
      <c r="G83" s="4">
        <f>HYPERLINK("https://itrix.uz/product/212", "🔗 Купить продукт")</f>
        <v/>
      </c>
      <c r="H83" s="4" t="inlineStr">
        <is>
          <t>4-212-214</t>
        </is>
      </c>
    </row>
    <row r="84" ht="30" customHeight="1">
      <c r="A84" s="3" t="inlineStr">
        <is>
          <t>Коммутаторы</t>
        </is>
      </c>
      <c r="B84" s="3" t="inlineStr">
        <is>
          <t>Коммутатор H3C S5120V3-28P-LI L3 24G+4SFP Switch</t>
        </is>
      </c>
      <c r="C84" s="4" t="inlineStr"/>
      <c r="D84" s="4" t="n">
        <v>4790240</v>
      </c>
      <c r="E84" s="4" t="n">
        <v>4277000</v>
      </c>
      <c r="F84" s="4" t="inlineStr">
        <is>
          <t>H3C</t>
        </is>
      </c>
      <c r="G84" s="4">
        <f>HYPERLINK("https://itrix.uz/product/208", "🔗 Купить продукт")</f>
        <v/>
      </c>
      <c r="H84" s="4" t="inlineStr">
        <is>
          <t>4-208-210</t>
        </is>
      </c>
    </row>
    <row r="85" ht="30" customHeight="1">
      <c r="A85" s="3" t="inlineStr">
        <is>
          <t>Коммутаторы</t>
        </is>
      </c>
      <c r="B85" s="3" t="inlineStr">
        <is>
          <t>Управляемый PoE коммутатор H3C L2 S5170-54S-PWR-EI 48G+PoE+6SPF Switch</t>
        </is>
      </c>
      <c r="C85" s="4" t="inlineStr"/>
      <c r="D85" s="4" t="n">
        <v>13802880</v>
      </c>
      <c r="E85" s="4" t="n">
        <v>12324000</v>
      </c>
      <c r="F85" s="4" t="inlineStr">
        <is>
          <t>H3C</t>
        </is>
      </c>
      <c r="G85" s="4">
        <f>HYPERLINK("https://itrix.uz/product/213", "🔗 Купить продукт")</f>
        <v/>
      </c>
      <c r="H85" s="4" t="inlineStr">
        <is>
          <t>4-213-215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rgb="000AA4A7"/>
    <outlinePr summaryBelow="1" summaryRight="1"/>
    <pageSetUpPr/>
  </sheetPr>
  <dimension ref="A1:H27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Маршрутизаторы</t>
        </is>
      </c>
      <c r="B2" s="3" t="inlineStr">
        <is>
          <t>Маршрутизатор Mikrotik CCR2004-16G-2S+</t>
        </is>
      </c>
      <c r="C2" s="4" t="inlineStr"/>
      <c r="D2" s="4" t="n">
        <v>6857760</v>
      </c>
      <c r="E2" s="4" t="n">
        <v>6123000</v>
      </c>
      <c r="F2" s="4" t="inlineStr">
        <is>
          <t>Mikrotik</t>
        </is>
      </c>
      <c r="G2" s="4">
        <f>HYPERLINK("https://itrix.uz/product/366", "🔗 Купить продукт")</f>
        <v/>
      </c>
      <c r="H2" s="4" t="inlineStr">
        <is>
          <t>8-366-371</t>
        </is>
      </c>
    </row>
    <row r="3" ht="30" customHeight="1">
      <c r="A3" s="3" t="inlineStr">
        <is>
          <t>Маршрутизаторы</t>
        </is>
      </c>
      <c r="B3" s="3" t="inlineStr">
        <is>
          <t>Маршрутизатор Mikrotik CCR2004-1G-12S+2XS</t>
        </is>
      </c>
      <c r="C3" s="4" t="inlineStr"/>
      <c r="D3" s="4" t="n">
        <v>10716160</v>
      </c>
      <c r="E3" s="4" t="n">
        <v>9568000</v>
      </c>
      <c r="F3" s="4" t="inlineStr">
        <is>
          <t>Mikrotik</t>
        </is>
      </c>
      <c r="G3" s="4">
        <f>HYPERLINK("https://itrix.uz/product/367", "🔗 Купить продукт")</f>
        <v/>
      </c>
      <c r="H3" s="4" t="inlineStr">
        <is>
          <t>8-367-372</t>
        </is>
      </c>
    </row>
    <row r="4" ht="30" customHeight="1">
      <c r="A4" s="3" t="inlineStr">
        <is>
          <t>Маршрутизаторы</t>
        </is>
      </c>
      <c r="B4" s="3" t="inlineStr">
        <is>
          <t>Маршрутизатор MikroTik CCR1009-7G-1C-1S+PC</t>
        </is>
      </c>
      <c r="C4" s="4" t="inlineStr"/>
      <c r="D4" s="4" t="n">
        <v>8808800</v>
      </c>
      <c r="E4" s="4" t="n">
        <v>7865000</v>
      </c>
      <c r="F4" s="4" t="inlineStr">
        <is>
          <t>Mikrotik</t>
        </is>
      </c>
      <c r="G4" s="4">
        <f>HYPERLINK("https://itrix.uz/product/239", "🔗 Купить продукт")</f>
        <v/>
      </c>
      <c r="H4" s="4" t="inlineStr">
        <is>
          <t>8-239-241</t>
        </is>
      </c>
    </row>
    <row r="5" ht="30" customHeight="1">
      <c r="A5" s="3" t="inlineStr">
        <is>
          <t>Маршрутизаторы</t>
        </is>
      </c>
      <c r="B5" s="3" t="inlineStr">
        <is>
          <t>Маршрутизатор MikroTik hEX RB750Gr3</t>
        </is>
      </c>
      <c r="C5" s="4" t="inlineStr"/>
      <c r="D5" s="4" t="n">
        <v>931840</v>
      </c>
      <c r="E5" s="4" t="n">
        <v>832000</v>
      </c>
      <c r="F5" s="4" t="inlineStr">
        <is>
          <t>Mikrotik</t>
        </is>
      </c>
      <c r="G5" s="4">
        <f>HYPERLINK("https://itrix.uz/product/368", "🔗 Купить продукт")</f>
        <v/>
      </c>
      <c r="H5" s="4" t="inlineStr">
        <is>
          <t>8-368-373</t>
        </is>
      </c>
    </row>
    <row r="6" ht="30" customHeight="1">
      <c r="A6" s="3" t="inlineStr">
        <is>
          <t>Маршрутизаторы</t>
        </is>
      </c>
      <c r="B6" s="3" t="inlineStr">
        <is>
          <t>Wi-Fi роутер MikroTik RB951Ui-2HnD</t>
        </is>
      </c>
      <c r="C6" s="4" t="inlineStr"/>
      <c r="D6" s="4" t="n">
        <v>975520</v>
      </c>
      <c r="E6" s="4" t="n">
        <v>871000</v>
      </c>
      <c r="F6" s="4" t="inlineStr">
        <is>
          <t>Mikrotik</t>
        </is>
      </c>
      <c r="G6" s="4">
        <f>HYPERLINK("https://itrix.uz/product/244", "🔗 Купить продукт")</f>
        <v/>
      </c>
      <c r="H6" s="4" t="inlineStr">
        <is>
          <t>8-244-246</t>
        </is>
      </c>
    </row>
    <row r="7" ht="30" customHeight="1">
      <c r="A7" s="3" t="inlineStr">
        <is>
          <t>Маршрутизаторы</t>
        </is>
      </c>
      <c r="B7" s="3" t="inlineStr">
        <is>
          <t>Wi-Fi роутер MikroTik hAP lite Classic RB941-2nD</t>
        </is>
      </c>
      <c r="C7" s="4" t="inlineStr"/>
      <c r="D7" s="4" t="n">
        <v>407680</v>
      </c>
      <c r="E7" s="4" t="n">
        <v>364000</v>
      </c>
      <c r="F7" s="4" t="inlineStr">
        <is>
          <t>Mikrotik</t>
        </is>
      </c>
      <c r="G7" s="4">
        <f>HYPERLINK("https://itrix.uz/product/249", "🔗 Купить продукт")</f>
        <v/>
      </c>
      <c r="H7" s="4" t="inlineStr">
        <is>
          <t>8-249-251</t>
        </is>
      </c>
    </row>
    <row r="8" ht="30" customHeight="1">
      <c r="A8" s="3" t="inlineStr">
        <is>
          <t>Маршрутизаторы</t>
        </is>
      </c>
      <c r="B8" s="3" t="inlineStr">
        <is>
          <t>Wi-Fi роутер MikroTik hAP mini RB931-2nD</t>
        </is>
      </c>
      <c r="C8" s="4" t="inlineStr"/>
      <c r="D8" s="4" t="n">
        <v>378560</v>
      </c>
      <c r="E8" s="4" t="n">
        <v>338000</v>
      </c>
      <c r="F8" s="4" t="inlineStr">
        <is>
          <t>Mikrotik</t>
        </is>
      </c>
      <c r="G8" s="4">
        <f>HYPERLINK("https://itrix.uz/product/251", "🔗 Купить продукт")</f>
        <v/>
      </c>
      <c r="H8" s="4" t="inlineStr">
        <is>
          <t>8-251-253</t>
        </is>
      </c>
    </row>
    <row r="9" ht="30" customHeight="1">
      <c r="A9" s="3" t="inlineStr">
        <is>
          <t>Маршрутизаторы</t>
        </is>
      </c>
      <c r="B9" s="3" t="inlineStr">
        <is>
          <t>Маршрутизатор MikroTik RB3011UiAS-RM</t>
        </is>
      </c>
      <c r="C9" s="4" t="inlineStr"/>
      <c r="D9" s="4" t="n">
        <v>2882880</v>
      </c>
      <c r="E9" s="4" t="n">
        <v>2574000</v>
      </c>
      <c r="F9" s="4" t="inlineStr">
        <is>
          <t>Mikrotik</t>
        </is>
      </c>
      <c r="G9" s="4">
        <f>HYPERLINK("https://itrix.uz/product/234", "🔗 Купить продукт")</f>
        <v/>
      </c>
      <c r="H9" s="4" t="inlineStr">
        <is>
          <t>8-234-236</t>
        </is>
      </c>
    </row>
    <row r="10" ht="30" customHeight="1">
      <c r="A10" s="3" t="inlineStr">
        <is>
          <t>Маршрутизаторы</t>
        </is>
      </c>
      <c r="B10" s="3" t="inlineStr">
        <is>
          <t>Wi-Fi роутер Mikrotik RB2011UiAS-2HnD-IN</t>
        </is>
      </c>
      <c r="C10" s="4" t="inlineStr"/>
      <c r="D10" s="4" t="n">
        <v>1965600</v>
      </c>
      <c r="E10" s="4" t="n">
        <v>1755000</v>
      </c>
      <c r="F10" s="4" t="inlineStr">
        <is>
          <t>Mikrotik</t>
        </is>
      </c>
      <c r="G10" s="4">
        <f>HYPERLINK("https://itrix.uz/product/233", "🔗 Купить продукт")</f>
        <v/>
      </c>
      <c r="H10" s="4" t="inlineStr">
        <is>
          <t>8-233-235</t>
        </is>
      </c>
    </row>
    <row r="11" ht="30" customHeight="1">
      <c r="A11" s="3" t="inlineStr">
        <is>
          <t>Маршрутизаторы</t>
        </is>
      </c>
      <c r="B11" s="3" t="inlineStr">
        <is>
          <t>Маршрутизатор Mikrotik RB4011iGS+RM</t>
        </is>
      </c>
      <c r="C11" s="4" t="inlineStr"/>
      <c r="D11" s="4" t="n">
        <v>3479840</v>
      </c>
      <c r="E11" s="4" t="n">
        <v>3107000</v>
      </c>
      <c r="F11" s="4" t="inlineStr">
        <is>
          <t>Mikrotik</t>
        </is>
      </c>
      <c r="G11" s="4">
        <f>HYPERLINK("https://itrix.uz/product/235", "🔗 Купить продукт")</f>
        <v/>
      </c>
      <c r="H11" s="4" t="inlineStr">
        <is>
          <t>8-235-237</t>
        </is>
      </c>
    </row>
    <row r="12" ht="30" customHeight="1">
      <c r="A12" s="3" t="inlineStr">
        <is>
          <t>Маршрутизаторы</t>
        </is>
      </c>
      <c r="B12" s="3" t="inlineStr">
        <is>
          <t>Маршрутизатор MikroTik CCR1036-12G-4S-EM</t>
        </is>
      </c>
      <c r="C12" s="4" t="inlineStr"/>
      <c r="D12" s="4" t="n">
        <v>23063040</v>
      </c>
      <c r="E12" s="4" t="n">
        <v>20592000</v>
      </c>
      <c r="F12" s="4" t="inlineStr">
        <is>
          <t>Mikrotik</t>
        </is>
      </c>
      <c r="G12" s="4">
        <f>HYPERLINK("https://itrix.uz/product/236", "🔗 Купить продукт")</f>
        <v/>
      </c>
      <c r="H12" s="4" t="inlineStr">
        <is>
          <t>8-236-238</t>
        </is>
      </c>
    </row>
    <row r="13" ht="30" customHeight="1">
      <c r="A13" s="3" t="inlineStr">
        <is>
          <t>Маршрутизаторы</t>
        </is>
      </c>
      <c r="B13" s="3" t="inlineStr">
        <is>
          <t>Маршрутизатор MikroTik CCR2116-12G-4S+</t>
        </is>
      </c>
      <c r="C13" s="4" t="inlineStr"/>
      <c r="D13" s="4" t="n">
        <v>13788320</v>
      </c>
      <c r="E13" s="4" t="n">
        <v>12311000</v>
      </c>
      <c r="F13" s="4" t="inlineStr">
        <is>
          <t>Mikrotik</t>
        </is>
      </c>
      <c r="G13" s="4">
        <f>HYPERLINK("https://itrix.uz/product/241", "🔗 Купить продукт")</f>
        <v/>
      </c>
      <c r="H13" s="4" t="inlineStr">
        <is>
          <t>8-241-243</t>
        </is>
      </c>
    </row>
    <row r="14" ht="30" customHeight="1">
      <c r="A14" s="3" t="inlineStr">
        <is>
          <t>Маршрутизаторы</t>
        </is>
      </c>
      <c r="B14" s="3" t="inlineStr">
        <is>
          <t>Wi-Fi роутер MikroTik hAP lite TC RB941-2nD-TC</t>
        </is>
      </c>
      <c r="C14" s="4" t="inlineStr"/>
      <c r="D14" s="4" t="n">
        <v>393120</v>
      </c>
      <c r="E14" s="4" t="n">
        <v>351000</v>
      </c>
      <c r="F14" s="4" t="inlineStr">
        <is>
          <t>Mikrotik</t>
        </is>
      </c>
      <c r="G14" s="4">
        <f>HYPERLINK("https://itrix.uz/product/250", "🔗 Купить продукт")</f>
        <v/>
      </c>
      <c r="H14" s="4" t="inlineStr">
        <is>
          <t>8-250-252</t>
        </is>
      </c>
    </row>
    <row r="15" ht="30" customHeight="1">
      <c r="A15" s="3" t="inlineStr">
        <is>
          <t>Маршрутизаторы</t>
        </is>
      </c>
      <c r="B15" s="3" t="inlineStr">
        <is>
          <t>Маршрутизатор Ubiquiti EdgeRouter X SFP</t>
        </is>
      </c>
      <c r="C15" s="4" t="inlineStr"/>
      <c r="D15" s="4" t="n">
        <v>1761760</v>
      </c>
      <c r="E15" s="4" t="n">
        <v>1573000</v>
      </c>
      <c r="F15" s="4" t="inlineStr">
        <is>
          <t>UniFi UBIQUITI</t>
        </is>
      </c>
      <c r="G15" s="4">
        <f>HYPERLINK("https://itrix.uz/product/178", "🔗 Купить продукт")</f>
        <v/>
      </c>
      <c r="H15" s="4" t="inlineStr">
        <is>
          <t>8-178-180</t>
        </is>
      </c>
    </row>
    <row r="16" ht="30" customHeight="1">
      <c r="A16" s="3" t="inlineStr">
        <is>
          <t>Маршрутизаторы</t>
        </is>
      </c>
      <c r="B16" s="3" t="inlineStr">
        <is>
          <t>Маршрутизатор Ubiquiti Unifi Cloud Gateway Ultra UCG-Ultra</t>
        </is>
      </c>
      <c r="C16" s="4" t="inlineStr"/>
      <c r="D16" s="4" t="n">
        <v>2242240</v>
      </c>
      <c r="E16" s="4" t="n">
        <v>2002000</v>
      </c>
      <c r="F16" s="4" t="inlineStr">
        <is>
          <t>UniFi UBIQUITI</t>
        </is>
      </c>
      <c r="G16" s="4">
        <f>HYPERLINK("https://itrix.uz/product/308", "🔗 Купить продукт")</f>
        <v/>
      </c>
      <c r="H16" s="4" t="inlineStr">
        <is>
          <t>8-308-310</t>
        </is>
      </c>
    </row>
    <row r="17" ht="30" customHeight="1">
      <c r="A17" s="3" t="inlineStr">
        <is>
          <t>Маршрутизаторы</t>
        </is>
      </c>
      <c r="B17" s="3" t="inlineStr">
        <is>
          <t>Маршрутизатор MikroTik RB2011UiAS-RM</t>
        </is>
      </c>
      <c r="C17" s="4" t="inlineStr"/>
      <c r="D17" s="4" t="n">
        <v>1951040</v>
      </c>
      <c r="E17" s="4" t="n">
        <v>1742000</v>
      </c>
      <c r="F17" s="4" t="inlineStr">
        <is>
          <t>Mikrotik</t>
        </is>
      </c>
      <c r="G17" s="4">
        <f>HYPERLINK("https://itrix.uz/product/232", "🔗 Купить продукт")</f>
        <v/>
      </c>
      <c r="H17" s="4" t="inlineStr">
        <is>
          <t>8-232-234</t>
        </is>
      </c>
    </row>
    <row r="18" ht="30" customHeight="1">
      <c r="A18" s="3" t="inlineStr">
        <is>
          <t>Маршрутизаторы</t>
        </is>
      </c>
      <c r="B18" s="3" t="inlineStr">
        <is>
          <t>Маршрутизатор Mikrotik CCR1009-7G-1C-1S+</t>
        </is>
      </c>
      <c r="C18" s="4" t="inlineStr"/>
      <c r="D18" s="4" t="n">
        <v>8619520</v>
      </c>
      <c r="E18" s="4" t="n">
        <v>7696000</v>
      </c>
      <c r="F18" s="4" t="inlineStr">
        <is>
          <t>Mikrotik</t>
        </is>
      </c>
      <c r="G18" s="4">
        <f>HYPERLINK("https://itrix.uz/product/240", "🔗 Купить продукт")</f>
        <v/>
      </c>
      <c r="H18" s="4" t="inlineStr">
        <is>
          <t>8-240-242</t>
        </is>
      </c>
    </row>
    <row r="19" ht="30" customHeight="1">
      <c r="A19" s="3" t="inlineStr">
        <is>
          <t>Маршрутизаторы</t>
        </is>
      </c>
      <c r="B19" s="3" t="inlineStr">
        <is>
          <t>Wi-Fi маршрутизатор MikroTik hAP RB951Ui-2nD</t>
        </is>
      </c>
      <c r="C19" s="4" t="inlineStr"/>
      <c r="D19" s="4" t="n">
        <v>728000</v>
      </c>
      <c r="E19" s="4" t="n">
        <v>650000</v>
      </c>
      <c r="F19" s="4" t="inlineStr">
        <is>
          <t>Mikrotik</t>
        </is>
      </c>
      <c r="G19" s="4">
        <f>HYPERLINK("https://itrix.uz/product/243", "🔗 Купить продукт")</f>
        <v/>
      </c>
      <c r="H19" s="4" t="inlineStr">
        <is>
          <t>8-243-245</t>
        </is>
      </c>
    </row>
    <row r="20" ht="30" customHeight="1">
      <c r="A20" s="3" t="inlineStr">
        <is>
          <t>Маршрутизаторы</t>
        </is>
      </c>
      <c r="B20" s="3" t="inlineStr">
        <is>
          <t>Маршрутизатор MikroTik hEX S RB760iGS</t>
        </is>
      </c>
      <c r="C20" s="4" t="inlineStr"/>
      <c r="D20" s="4" t="n">
        <v>1179360</v>
      </c>
      <c r="E20" s="4" t="n">
        <v>1053000</v>
      </c>
      <c r="F20" s="4" t="inlineStr">
        <is>
          <t>Mikrotik</t>
        </is>
      </c>
      <c r="G20" s="4">
        <f>HYPERLINK("https://itrix.uz/product/242", "🔗 Купить продукт")</f>
        <v/>
      </c>
      <c r="H20" s="4" t="inlineStr">
        <is>
          <t>8-242-244</t>
        </is>
      </c>
    </row>
    <row r="21" ht="30" customHeight="1">
      <c r="A21" s="3" t="inlineStr">
        <is>
          <t>Маршрутизаторы</t>
        </is>
      </c>
      <c r="B21" s="3" t="inlineStr">
        <is>
          <t>Wi-Fi роутер MikroTik hAP ac lite RB952Ui-5ac2nD</t>
        </is>
      </c>
      <c r="C21" s="4" t="inlineStr"/>
      <c r="D21" s="4" t="n">
        <v>931840</v>
      </c>
      <c r="E21" s="4" t="n">
        <v>832000</v>
      </c>
      <c r="F21" s="4" t="inlineStr">
        <is>
          <t>Mikrotik</t>
        </is>
      </c>
      <c r="G21" s="4">
        <f>HYPERLINK("https://itrix.uz/product/246", "🔗 Купить продукт")</f>
        <v/>
      </c>
      <c r="H21" s="4" t="inlineStr">
        <is>
          <t>8-246-248</t>
        </is>
      </c>
    </row>
    <row r="22" ht="30" customHeight="1">
      <c r="A22" s="3" t="inlineStr">
        <is>
          <t>Маршрутизаторы</t>
        </is>
      </c>
      <c r="B22" s="3" t="inlineStr">
        <is>
          <t>Wi-Fi роутер Ubiquiti UniFi Dream Router UDR</t>
        </is>
      </c>
      <c r="C22" s="4" t="inlineStr"/>
      <c r="D22" s="4" t="n">
        <v>4528160</v>
      </c>
      <c r="E22" s="4" t="n">
        <v>4043000</v>
      </c>
      <c r="F22" s="4" t="inlineStr">
        <is>
          <t>UniFi UBIQUITI</t>
        </is>
      </c>
      <c r="G22" s="4">
        <f>HYPERLINK("https://itrix.uz/product/309", "🔗 Купить продукт")</f>
        <v/>
      </c>
      <c r="H22" s="4" t="inlineStr">
        <is>
          <t>8-309-311</t>
        </is>
      </c>
    </row>
    <row r="23" ht="30" customHeight="1">
      <c r="A23" s="3" t="inlineStr">
        <is>
          <t>Маршрутизаторы</t>
        </is>
      </c>
      <c r="B23" s="3" t="inlineStr">
        <is>
          <t>UniFi Dream Machine Special Edition</t>
        </is>
      </c>
      <c r="C23" s="4" t="inlineStr"/>
      <c r="D23" s="4" t="n">
        <v>728000</v>
      </c>
      <c r="E23" s="4" t="n">
        <v>650000</v>
      </c>
      <c r="F23" s="4" t="inlineStr">
        <is>
          <t>UniFi UBIQUITI</t>
        </is>
      </c>
      <c r="G23" s="4">
        <f>HYPERLINK("https://itrix.uz/product/311", "🔗 Купить продукт")</f>
        <v/>
      </c>
      <c r="H23" s="4" t="inlineStr">
        <is>
          <t>8-311-313</t>
        </is>
      </c>
    </row>
    <row r="24" ht="30" customHeight="1">
      <c r="A24" s="3" t="inlineStr">
        <is>
          <t>Маршрутизаторы</t>
        </is>
      </c>
      <c r="B24" s="3" t="inlineStr">
        <is>
          <t>Маршрутизатор MikroTik hEX PoE RB960PGS</t>
        </is>
      </c>
      <c r="C24" s="4" t="inlineStr"/>
      <c r="D24" s="4" t="n">
        <v>1339520</v>
      </c>
      <c r="E24" s="4" t="n">
        <v>1196000</v>
      </c>
      <c r="F24" s="4" t="inlineStr">
        <is>
          <t>Mikrotik</t>
        </is>
      </c>
      <c r="G24" s="4">
        <f>HYPERLINK("https://itrix.uz/product/247", "🔗 Купить продукт")</f>
        <v/>
      </c>
      <c r="H24" s="4" t="inlineStr">
        <is>
          <t>8-247-249</t>
        </is>
      </c>
    </row>
    <row r="25" ht="30" customHeight="1">
      <c r="A25" s="3" t="inlineStr">
        <is>
          <t>Маршрутизаторы</t>
        </is>
      </c>
      <c r="B25" s="3" t="inlineStr">
        <is>
          <t>Wi-Fi роутер MikroTik RB951G-2HnD</t>
        </is>
      </c>
      <c r="C25" s="4" t="inlineStr"/>
      <c r="D25" s="4" t="n">
        <v>1645280</v>
      </c>
      <c r="E25" s="4" t="n">
        <v>1469000</v>
      </c>
      <c r="F25" s="4" t="inlineStr">
        <is>
          <t>Mikrotik</t>
        </is>
      </c>
      <c r="G25" s="4">
        <f>HYPERLINK("https://itrix.uz/product/245", "🔗 Купить продукт")</f>
        <v/>
      </c>
      <c r="H25" s="4" t="inlineStr">
        <is>
          <t>8-245-247</t>
        </is>
      </c>
    </row>
    <row r="26" ht="30" customHeight="1">
      <c r="A26" s="3" t="inlineStr">
        <is>
          <t>Маршрутизаторы</t>
        </is>
      </c>
      <c r="B26" s="3" t="inlineStr">
        <is>
          <t>Маршрутизатор MikroTik RB1100AHx4</t>
        </is>
      </c>
      <c r="C26" s="4" t="inlineStr"/>
      <c r="D26" s="4" t="n">
        <v>4819360</v>
      </c>
      <c r="E26" s="4" t="n">
        <v>4303000</v>
      </c>
      <c r="F26" s="4" t="inlineStr">
        <is>
          <t>Mikrotik</t>
        </is>
      </c>
      <c r="G26" s="4">
        <f>HYPERLINK("https://itrix.uz/product/237", "🔗 Купить продукт")</f>
        <v/>
      </c>
      <c r="H26" s="4" t="inlineStr">
        <is>
          <t>8-237-239</t>
        </is>
      </c>
    </row>
    <row r="27" ht="30" customHeight="1">
      <c r="A27" s="3" t="inlineStr">
        <is>
          <t>Маршрутизаторы</t>
        </is>
      </c>
      <c r="B27" s="3" t="inlineStr">
        <is>
          <t>Маршрутизатор MikroTik RB1100Dx4 Dude Edition</t>
        </is>
      </c>
      <c r="C27" s="4" t="inlineStr"/>
      <c r="D27" s="4" t="n">
        <v>6406400</v>
      </c>
      <c r="E27" s="4" t="n">
        <v>5720000</v>
      </c>
      <c r="F27" s="4" t="inlineStr">
        <is>
          <t>Mikrotik</t>
        </is>
      </c>
      <c r="G27" s="4">
        <f>HYPERLINK("https://itrix.uz/product/238", "🔗 Купить продукт")</f>
        <v/>
      </c>
      <c r="H27" s="4" t="inlineStr">
        <is>
          <t>8-238-240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tabColor rgb="00276255"/>
    <outlinePr summaryBelow="1" summaryRight="1"/>
    <pageSetUpPr/>
  </sheetPr>
  <dimension ref="A1:H10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Межсетевые экраны (брандмауэр)</t>
        </is>
      </c>
      <c r="B2" s="3" t="inlineStr">
        <is>
          <t>Межсетевой экран Zyxel ZyWALL USGFLEX500</t>
        </is>
      </c>
      <c r="C2" s="4" t="inlineStr"/>
      <c r="D2" s="4" t="n">
        <v>34536320</v>
      </c>
      <c r="E2" s="4" t="n">
        <v>30836000</v>
      </c>
      <c r="F2" s="4" t="inlineStr">
        <is>
          <t>Zyxel</t>
        </is>
      </c>
      <c r="G2" s="4">
        <f>HYPERLINK("https://itrix.uz/product/228", "🔗 Купить продукт")</f>
        <v/>
      </c>
      <c r="H2" s="4" t="inlineStr">
        <is>
          <t>5-228-230</t>
        </is>
      </c>
    </row>
    <row r="3" ht="30" customHeight="1">
      <c r="A3" s="3" t="inlineStr">
        <is>
          <t>Межсетевые экраны (брандмауэр)</t>
        </is>
      </c>
      <c r="B3" s="3" t="inlineStr">
        <is>
          <t>Межсетевой экран Zyxel ZyWALL USGFLEX700</t>
        </is>
      </c>
      <c r="C3" s="4" t="inlineStr"/>
      <c r="D3" s="4" t="n">
        <v>47014240</v>
      </c>
      <c r="E3" s="4" t="n">
        <v>41977000</v>
      </c>
      <c r="F3" s="4" t="inlineStr">
        <is>
          <t>Zyxel</t>
        </is>
      </c>
      <c r="G3" s="4">
        <f>HYPERLINK("https://itrix.uz/product/229", "🔗 Купить продукт")</f>
        <v/>
      </c>
      <c r="H3" s="4" t="inlineStr">
        <is>
          <t>5-229-231</t>
        </is>
      </c>
    </row>
    <row r="4" ht="30" customHeight="1">
      <c r="A4" s="3" t="inlineStr">
        <is>
          <t>Межсетевые экраны (брандмауэр)</t>
        </is>
      </c>
      <c r="B4" s="3" t="inlineStr">
        <is>
          <t>Межсетевой экран Zyxel ZyWALL USGFLEX100</t>
        </is>
      </c>
      <c r="C4" s="4" t="inlineStr"/>
      <c r="D4" s="4" t="n">
        <v>16292640</v>
      </c>
      <c r="E4" s="4" t="n">
        <v>14547000</v>
      </c>
      <c r="F4" s="4" t="inlineStr">
        <is>
          <t>Zyxel</t>
        </is>
      </c>
      <c r="G4" s="4">
        <f>HYPERLINK("https://itrix.uz/product/227", "🔗 Купить продукт")</f>
        <v/>
      </c>
      <c r="H4" s="4" t="inlineStr">
        <is>
          <t>5-227-229</t>
        </is>
      </c>
    </row>
    <row r="5" ht="30" customHeight="1">
      <c r="A5" s="3" t="inlineStr">
        <is>
          <t>Межсетевые экраны (брандмауэр)</t>
        </is>
      </c>
      <c r="B5" s="3" t="inlineStr">
        <is>
          <t>Межсетевой экран Zyxel ZyWALL ATP800</t>
        </is>
      </c>
      <c r="C5" s="4" t="inlineStr"/>
      <c r="D5" s="4" t="n">
        <v>91262080</v>
      </c>
      <c r="E5" s="4" t="n">
        <v>81484000</v>
      </c>
      <c r="F5" s="4" t="inlineStr">
        <is>
          <t>Zyxel</t>
        </is>
      </c>
      <c r="G5" s="4">
        <f>HYPERLINK("https://itrix.uz/product/231", "🔗 Купить продукт")</f>
        <v/>
      </c>
      <c r="H5" s="4" t="inlineStr">
        <is>
          <t>5-231-233</t>
        </is>
      </c>
    </row>
    <row r="6" ht="30" customHeight="1">
      <c r="A6" s="3" t="inlineStr">
        <is>
          <t>Межсетевые экраны (брандмауэр)</t>
        </is>
      </c>
      <c r="B6" s="3" t="inlineStr">
        <is>
          <t>Межсетевой экран Fortinet FortiGate 40F</t>
        </is>
      </c>
      <c r="C6" s="4" t="inlineStr"/>
      <c r="D6" s="4" t="n">
        <v>6901440</v>
      </c>
      <c r="E6" s="4" t="n">
        <v>6162000</v>
      </c>
      <c r="F6" s="4" t="inlineStr">
        <is>
          <t>Fortinet</t>
        </is>
      </c>
      <c r="G6" s="4">
        <f>HYPERLINK("https://itrix.uz/product/363", "🔗 Купить продукт")</f>
        <v/>
      </c>
      <c r="H6" s="4" t="inlineStr">
        <is>
          <t>5-363-368</t>
        </is>
      </c>
    </row>
    <row r="7" ht="30" customHeight="1">
      <c r="A7" s="3" t="inlineStr">
        <is>
          <t>Межсетевые экраны (брандмауэр)</t>
        </is>
      </c>
      <c r="B7" s="3" t="inlineStr">
        <is>
          <t>Межсетевой экран Fortinet FortiGate 60F</t>
        </is>
      </c>
      <c r="C7" s="4" t="inlineStr"/>
      <c r="D7" s="4" t="n">
        <v>9944480</v>
      </c>
      <c r="E7" s="4" t="n">
        <v>8879000</v>
      </c>
      <c r="F7" s="4" t="inlineStr">
        <is>
          <t>Fortinet</t>
        </is>
      </c>
      <c r="G7" s="4">
        <f>HYPERLINK("https://itrix.uz/product/364", "🔗 Купить продукт")</f>
        <v/>
      </c>
      <c r="H7" s="4" t="inlineStr">
        <is>
          <t>5-364-369</t>
        </is>
      </c>
    </row>
    <row r="8" ht="30" customHeight="1">
      <c r="A8" s="3" t="inlineStr">
        <is>
          <t>Межсетевые экраны (брандмауэр)</t>
        </is>
      </c>
      <c r="B8" s="3" t="inlineStr">
        <is>
          <t>Межсетевой экран Fortinet FortiGate 100F</t>
        </is>
      </c>
      <c r="C8" s="4" t="inlineStr"/>
      <c r="D8" s="4" t="n">
        <v>45572800</v>
      </c>
      <c r="E8" s="4" t="n">
        <v>40690000</v>
      </c>
      <c r="F8" s="4" t="inlineStr">
        <is>
          <t>Fortinet</t>
        </is>
      </c>
      <c r="G8" s="4">
        <f>HYPERLINK("https://itrix.uz/product/365", "🔗 Купить продукт")</f>
        <v/>
      </c>
      <c r="H8" s="4" t="inlineStr">
        <is>
          <t>5-365-370</t>
        </is>
      </c>
    </row>
    <row r="9" ht="30" customHeight="1">
      <c r="A9" s="3" t="inlineStr">
        <is>
          <t>Межсетевые экраны (брандмауэр)</t>
        </is>
      </c>
      <c r="B9" s="3" t="inlineStr">
        <is>
          <t>Межсетевой экран Zyxel ZyWALL VPN2S</t>
        </is>
      </c>
      <c r="C9" s="4" t="inlineStr"/>
      <c r="D9" s="4" t="n">
        <v>2737280</v>
      </c>
      <c r="E9" s="4" t="n">
        <v>2444000</v>
      </c>
      <c r="F9" s="4" t="inlineStr">
        <is>
          <t>Zyxel</t>
        </is>
      </c>
      <c r="G9" s="4">
        <f>HYPERLINK("https://itrix.uz/product/226", "🔗 Купить продукт")</f>
        <v/>
      </c>
      <c r="H9" s="4" t="inlineStr">
        <is>
          <t>5-226-228</t>
        </is>
      </c>
    </row>
    <row r="10" ht="30" customHeight="1">
      <c r="A10" s="3" t="inlineStr">
        <is>
          <t>Межсетевые экраны (брандмауэр)</t>
        </is>
      </c>
      <c r="B10" s="3" t="inlineStr">
        <is>
          <t>Межсетевой экран Zyxel ZyWALL ATP700</t>
        </is>
      </c>
      <c r="C10" s="4" t="inlineStr"/>
      <c r="D10" s="4" t="n">
        <v>62229440</v>
      </c>
      <c r="E10" s="4" t="n">
        <v>55562000</v>
      </c>
      <c r="F10" s="4" t="inlineStr">
        <is>
          <t>Zyxel</t>
        </is>
      </c>
      <c r="G10" s="4">
        <f>HYPERLINK("https://itrix.uz/product/230", "🔗 Купить продукт")</f>
        <v/>
      </c>
      <c r="H10" s="4" t="inlineStr">
        <is>
          <t>5-230-232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tabColor rgb="00151C15"/>
    <outlinePr summaryBelow="1" summaryRight="1"/>
    <pageSetUpPr/>
  </sheetPr>
  <dimension ref="A1:H24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Точки доступа WiFi</t>
        </is>
      </c>
      <c r="B2" s="3" t="inlineStr">
        <is>
          <t>Радиомост Ubiquiti airMAX PowerBeam 5AC PBE-5AC-Gen2</t>
        </is>
      </c>
      <c r="C2" s="4" t="inlineStr"/>
      <c r="D2" s="4" t="n">
        <v>3217760</v>
      </c>
      <c r="E2" s="4" t="n">
        <v>2873000</v>
      </c>
      <c r="F2" s="4" t="inlineStr">
        <is>
          <t>UniFi UBIQUITI</t>
        </is>
      </c>
      <c r="G2" s="4">
        <f>HYPERLINK("https://itrix.uz/product/314", "🔗 Купить продукт")</f>
        <v/>
      </c>
      <c r="H2" s="4" t="inlineStr">
        <is>
          <t>7-314-316</t>
        </is>
      </c>
    </row>
    <row r="3" ht="30" customHeight="1">
      <c r="A3" s="3" t="inlineStr">
        <is>
          <t>Точки доступа WiFi</t>
        </is>
      </c>
      <c r="B3" s="3" t="inlineStr">
        <is>
          <t>Точка доступа Ubiquiti airMAX Lite AP LAP-120</t>
        </is>
      </c>
      <c r="C3" s="4" t="inlineStr"/>
      <c r="D3" s="4" t="n">
        <v>2635360</v>
      </c>
      <c r="E3" s="4" t="n">
        <v>2353000</v>
      </c>
      <c r="F3" s="4" t="inlineStr">
        <is>
          <t>UniFi UBIQUITI</t>
        </is>
      </c>
      <c r="G3" s="4">
        <f>HYPERLINK("https://itrix.uz/product/315", "🔗 Купить продукт")</f>
        <v/>
      </c>
      <c r="H3" s="4" t="inlineStr">
        <is>
          <t>7-315-317</t>
        </is>
      </c>
    </row>
    <row r="4" ht="30" customHeight="1">
      <c r="A4" s="3" t="inlineStr">
        <is>
          <t>Точки доступа WiFi</t>
        </is>
      </c>
      <c r="B4" s="3" t="inlineStr">
        <is>
          <t>Точка доступа Ubiquiti UniFi U6 Long Range U6-LR</t>
        </is>
      </c>
      <c r="C4" s="4" t="inlineStr"/>
      <c r="D4" s="4" t="n">
        <v>3741920</v>
      </c>
      <c r="E4" s="4" t="n">
        <v>3341000</v>
      </c>
      <c r="F4" s="4" t="inlineStr">
        <is>
          <t>UniFi UBIQUITI</t>
        </is>
      </c>
      <c r="G4" s="4">
        <f>HYPERLINK("https://itrix.uz/product/300", "🔗 Купить продукт")</f>
        <v/>
      </c>
      <c r="H4" s="4" t="inlineStr">
        <is>
          <t>7-300-302</t>
        </is>
      </c>
    </row>
    <row r="5" ht="30" customHeight="1">
      <c r="A5" s="3" t="inlineStr">
        <is>
          <t>Точки доступа WiFi</t>
        </is>
      </c>
      <c r="B5" s="3" t="inlineStr">
        <is>
          <t>Точка доступа Ubiquiti UniFi U7 Pro U7-Pro</t>
        </is>
      </c>
      <c r="C5" s="4" t="inlineStr"/>
      <c r="D5" s="4" t="n">
        <v>4091360</v>
      </c>
      <c r="E5" s="4" t="n">
        <v>3653000</v>
      </c>
      <c r="F5" s="4" t="inlineStr">
        <is>
          <t>UniFi UBIQUITI</t>
        </is>
      </c>
      <c r="G5" s="4">
        <f>HYPERLINK("https://itrix.uz/product/301", "🔗 Купить продукт")</f>
        <v/>
      </c>
      <c r="H5" s="4" t="inlineStr">
        <is>
          <t>7-301-303</t>
        </is>
      </c>
    </row>
    <row r="6" ht="30" customHeight="1">
      <c r="A6" s="3" t="inlineStr">
        <is>
          <t>Точки доступа WiFi</t>
        </is>
      </c>
      <c r="B6" s="3" t="inlineStr">
        <is>
          <t>Точка доступа H3C WA6120 Access Point</t>
        </is>
      </c>
      <c r="C6" s="4" t="inlineStr"/>
      <c r="D6" s="4" t="n">
        <v>1368640</v>
      </c>
      <c r="E6" s="4" t="n">
        <v>1222000</v>
      </c>
      <c r="F6" s="4" t="inlineStr">
        <is>
          <t>H3C</t>
        </is>
      </c>
      <c r="G6" s="4">
        <f>HYPERLINK("https://itrix.uz/product/209", "🔗 Купить продукт")</f>
        <v/>
      </c>
      <c r="H6" s="4" t="inlineStr">
        <is>
          <t>7-209-211</t>
        </is>
      </c>
    </row>
    <row r="7" ht="30" customHeight="1">
      <c r="A7" s="3" t="inlineStr">
        <is>
          <t>Точки доступа WiFi</t>
        </is>
      </c>
      <c r="B7" s="3" t="inlineStr">
        <is>
          <t>Маршрутизатор и точка доступа Ubiquiti UniFi Express UX</t>
        </is>
      </c>
      <c r="C7" s="4" t="inlineStr"/>
      <c r="D7" s="4" t="n">
        <v>2562560</v>
      </c>
      <c r="E7" s="4" t="n">
        <v>2288000</v>
      </c>
      <c r="F7" s="4" t="inlineStr">
        <is>
          <t>UniFi UBIQUITI</t>
        </is>
      </c>
      <c r="G7" s="4">
        <f>HYPERLINK("https://itrix.uz/product/307", "🔗 Купить продукт")</f>
        <v/>
      </c>
      <c r="H7" s="4" t="inlineStr">
        <is>
          <t>7-307-309</t>
        </is>
      </c>
    </row>
    <row r="8" ht="30" customHeight="1">
      <c r="A8" s="3" t="inlineStr">
        <is>
          <t>Точки доступа WiFi</t>
        </is>
      </c>
      <c r="B8" s="3" t="inlineStr">
        <is>
          <t>Точка доступа H3C WA6120X Outdoor Access Point</t>
        </is>
      </c>
      <c r="C8" s="4" t="inlineStr"/>
      <c r="D8" s="4" t="n">
        <v>4964960</v>
      </c>
      <c r="E8" s="4" t="n">
        <v>4433000</v>
      </c>
      <c r="F8" s="4" t="inlineStr">
        <is>
          <t>H3C</t>
        </is>
      </c>
      <c r="G8" s="4">
        <f>HYPERLINK("https://itrix.uz/product/210", "🔗 Купить продукт")</f>
        <v/>
      </c>
      <c r="H8" s="4" t="inlineStr">
        <is>
          <t>7-210-212</t>
        </is>
      </c>
    </row>
    <row r="9" ht="30" customHeight="1">
      <c r="A9" s="3" t="inlineStr">
        <is>
          <t>Точки доступа WiFi</t>
        </is>
      </c>
      <c r="B9" s="3" t="inlineStr">
        <is>
          <t>Wi-Fi роутер MikroTik hAP ac² RBD52G-5HacD2HnD-TC</t>
        </is>
      </c>
      <c r="C9" s="4" t="inlineStr"/>
      <c r="D9" s="4" t="n">
        <v>1208480</v>
      </c>
      <c r="E9" s="4" t="n">
        <v>1079000</v>
      </c>
      <c r="F9" s="4" t="inlineStr">
        <is>
          <t>Mikrotik</t>
        </is>
      </c>
      <c r="G9" s="4">
        <f>HYPERLINK("https://itrix.uz/product/316", "🔗 Купить продукт")</f>
        <v/>
      </c>
      <c r="H9" s="4" t="inlineStr">
        <is>
          <t>7-316-318</t>
        </is>
      </c>
    </row>
    <row r="10" ht="30" customHeight="1">
      <c r="A10" s="3" t="inlineStr">
        <is>
          <t>Точки доступа WiFi</t>
        </is>
      </c>
      <c r="B10" s="3" t="inlineStr">
        <is>
          <t xml:space="preserve">Точка доступа Mikrotik SXTsq Lite5 RBSXTsq5nD </t>
        </is>
      </c>
      <c r="C10" s="4" t="inlineStr"/>
      <c r="D10" s="4" t="n">
        <v>829920</v>
      </c>
      <c r="E10" s="4" t="n">
        <v>741000</v>
      </c>
      <c r="F10" s="4" t="inlineStr">
        <is>
          <t>Mikrotik</t>
        </is>
      </c>
      <c r="G10" s="4">
        <f>HYPERLINK("https://itrix.uz/product/248", "🔗 Купить продукт")</f>
        <v/>
      </c>
      <c r="H10" s="4" t="inlineStr">
        <is>
          <t>7-248-250</t>
        </is>
      </c>
    </row>
    <row r="11" ht="30" customHeight="1">
      <c r="A11" s="3" t="inlineStr">
        <is>
          <t>Точки доступа WiFi</t>
        </is>
      </c>
      <c r="B11" s="3" t="inlineStr">
        <is>
          <t>Точка доступа MikroTik cAP RBcAP2nD</t>
        </is>
      </c>
      <c r="C11" s="4" t="inlineStr"/>
      <c r="D11" s="4" t="n">
        <v>1295840</v>
      </c>
      <c r="E11" s="4" t="n">
        <v>1157000</v>
      </c>
      <c r="F11" s="4" t="inlineStr">
        <is>
          <t>Mikrotik</t>
        </is>
      </c>
      <c r="G11" s="4">
        <f>HYPERLINK("https://itrix.uz/product/254", "🔗 Купить продукт")</f>
        <v/>
      </c>
      <c r="H11" s="4" t="inlineStr">
        <is>
          <t>7-254-256</t>
        </is>
      </c>
    </row>
    <row r="12" ht="30" customHeight="1">
      <c r="A12" s="3" t="inlineStr">
        <is>
          <t>Точки доступа WiFi</t>
        </is>
      </c>
      <c r="B12" s="3" t="inlineStr">
        <is>
          <t>Точка доступа MikroTik cAP ac RBcAPGi-5acD2nD</t>
        </is>
      </c>
      <c r="C12" s="4" t="inlineStr"/>
      <c r="D12" s="4" t="n">
        <v>1252160</v>
      </c>
      <c r="E12" s="4" t="n">
        <v>1118000</v>
      </c>
      <c r="F12" s="4" t="inlineStr">
        <is>
          <t>Mikrotik</t>
        </is>
      </c>
      <c r="G12" s="4">
        <f>HYPERLINK("https://itrix.uz/product/253", "🔗 Купить продукт")</f>
        <v/>
      </c>
      <c r="H12" s="4" t="inlineStr">
        <is>
          <t>7-253-255</t>
        </is>
      </c>
    </row>
    <row r="13" ht="30" customHeight="1">
      <c r="A13" s="3" t="inlineStr">
        <is>
          <t>Точки доступа WiFi</t>
        </is>
      </c>
      <c r="B13" s="3" t="inlineStr">
        <is>
          <t>Точка доступа Ubiquiti Unifi U6 Extender U6-Extender</t>
        </is>
      </c>
      <c r="C13" s="4" t="inlineStr"/>
      <c r="D13" s="4" t="n">
        <v>3945760</v>
      </c>
      <c r="E13" s="4" t="n">
        <v>3523000</v>
      </c>
      <c r="F13" s="4" t="inlineStr">
        <is>
          <t>UniFi UBIQUITI</t>
        </is>
      </c>
      <c r="G13" s="4">
        <f>HYPERLINK("https://itrix.uz/product/305", "🔗 Купить продукт")</f>
        <v/>
      </c>
      <c r="H13" s="4" t="inlineStr">
        <is>
          <t>7-305-307</t>
        </is>
      </c>
    </row>
    <row r="14" ht="30" customHeight="1">
      <c r="A14" s="3" t="inlineStr">
        <is>
          <t>Точки доступа WiFi</t>
        </is>
      </c>
      <c r="B14" s="3" t="inlineStr">
        <is>
          <t>Точка доступа MikroTik Disc Lite5 RBDisc-5nD</t>
        </is>
      </c>
      <c r="C14" s="4" t="inlineStr"/>
      <c r="D14" s="4" t="n">
        <v>1295840</v>
      </c>
      <c r="E14" s="4" t="n">
        <v>1157000</v>
      </c>
      <c r="F14" s="4" t="inlineStr">
        <is>
          <t>Mikrotik</t>
        </is>
      </c>
      <c r="G14" s="4">
        <f>HYPERLINK("https://itrix.uz/product/255", "🔗 Купить продукт")</f>
        <v/>
      </c>
      <c r="H14" s="4" t="inlineStr">
        <is>
          <t>7-255-257</t>
        </is>
      </c>
    </row>
    <row r="15" ht="30" customHeight="1">
      <c r="A15" s="3" t="inlineStr">
        <is>
          <t>Точки доступа WiFi</t>
        </is>
      </c>
      <c r="B15" s="3" t="inlineStr">
        <is>
          <t>Точка доступа MikroTik wAP ac (белый) RBwAPG-5HacD2HnD</t>
        </is>
      </c>
      <c r="C15" s="4" t="inlineStr"/>
      <c r="D15" s="4" t="n">
        <v>1295840</v>
      </c>
      <c r="E15" s="4" t="n">
        <v>1157000</v>
      </c>
      <c r="F15" s="4" t="inlineStr">
        <is>
          <t>Mikrotik</t>
        </is>
      </c>
      <c r="G15" s="4">
        <f>HYPERLINK("https://itrix.uz/product/252", "🔗 Купить продукт")</f>
        <v/>
      </c>
      <c r="H15" s="4" t="inlineStr">
        <is>
          <t>7-252-254</t>
        </is>
      </c>
    </row>
    <row r="16" ht="30" customHeight="1">
      <c r="A16" s="3" t="inlineStr">
        <is>
          <t>Точки доступа WiFi</t>
        </is>
      </c>
      <c r="B16" s="3" t="inlineStr">
        <is>
          <t>Точка доступа Ubiquiti Unifi U6 Mesh U6-MESH</t>
        </is>
      </c>
      <c r="C16" s="4" t="inlineStr"/>
      <c r="D16" s="4" t="n">
        <v>3814720</v>
      </c>
      <c r="E16" s="4" t="n">
        <v>3406000</v>
      </c>
      <c r="F16" s="4" t="inlineStr">
        <is>
          <t>UniFi UBIQUITI</t>
        </is>
      </c>
      <c r="G16" s="4">
        <f>HYPERLINK("https://itrix.uz/product/304", "🔗 Купить продукт")</f>
        <v/>
      </c>
      <c r="H16" s="4" t="inlineStr">
        <is>
          <t>7-304-306</t>
        </is>
      </c>
    </row>
    <row r="17" ht="30" customHeight="1">
      <c r="A17" s="3" t="inlineStr">
        <is>
          <t>Точки доступа WiFi</t>
        </is>
      </c>
      <c r="B17" s="3" t="inlineStr">
        <is>
          <t>Точка доступа Ubiquiti Unifi U6 In Wall U6-IW</t>
        </is>
      </c>
      <c r="C17" s="4" t="inlineStr"/>
      <c r="D17" s="4" t="n">
        <v>3465280</v>
      </c>
      <c r="E17" s="4" t="n">
        <v>3094000</v>
      </c>
      <c r="F17" s="4" t="inlineStr">
        <is>
          <t>UniFi UBIQUITI</t>
        </is>
      </c>
      <c r="G17" s="4">
        <f>HYPERLINK("https://itrix.uz/product/306", "🔗 Купить продукт")</f>
        <v/>
      </c>
      <c r="H17" s="4" t="inlineStr">
        <is>
          <t>7-306-308</t>
        </is>
      </c>
    </row>
    <row r="18" ht="30" customHeight="1">
      <c r="A18" s="3" t="inlineStr">
        <is>
          <t>Точки доступа WiFi</t>
        </is>
      </c>
      <c r="B18" s="3" t="inlineStr">
        <is>
          <t>Точка доступа Ubiquiti airMAX NanoStation Loco 5AC LOCO5AC</t>
        </is>
      </c>
      <c r="C18" s="4" t="inlineStr"/>
      <c r="D18" s="4" t="n">
        <v>1092000</v>
      </c>
      <c r="E18" s="4" t="n">
        <v>975000</v>
      </c>
      <c r="F18" s="4" t="inlineStr">
        <is>
          <t>UniFi UBIQUITI</t>
        </is>
      </c>
      <c r="G18" s="4">
        <f>HYPERLINK("https://itrix.uz/product/312", "🔗 Купить продукт")</f>
        <v/>
      </c>
      <c r="H18" s="4" t="inlineStr">
        <is>
          <t>7-312-314</t>
        </is>
      </c>
    </row>
    <row r="19" ht="30" customHeight="1">
      <c r="A19" s="3" t="inlineStr">
        <is>
          <t>Точки доступа WiFi</t>
        </is>
      </c>
      <c r="B19" s="3" t="inlineStr">
        <is>
          <t>Радиомост Ubiquiti airMAX LiteBeam 5AC Gen 2 LBE-5AC-GEN2</t>
        </is>
      </c>
      <c r="C19" s="4" t="inlineStr"/>
      <c r="D19" s="4" t="n">
        <v>1426880</v>
      </c>
      <c r="E19" s="4" t="n">
        <v>1274000</v>
      </c>
      <c r="F19" s="4" t="inlineStr">
        <is>
          <t>UniFi UBIQUITI</t>
        </is>
      </c>
      <c r="G19" s="4">
        <f>HYPERLINK("https://itrix.uz/product/313", "🔗 Купить продукт")</f>
        <v/>
      </c>
      <c r="H19" s="4" t="inlineStr">
        <is>
          <t>7-313-315</t>
        </is>
      </c>
    </row>
    <row r="20" ht="30" customHeight="1">
      <c r="A20" s="3" t="inlineStr">
        <is>
          <t>Точки доступа WiFi</t>
        </is>
      </c>
      <c r="B20" s="3" t="inlineStr">
        <is>
          <t>Точка доступа Ubiquiti UniFi AP AC Pro</t>
        </is>
      </c>
      <c r="C20" s="4" t="inlineStr"/>
      <c r="D20" s="4" t="n">
        <v>2766400</v>
      </c>
      <c r="E20" s="4" t="n">
        <v>2470000</v>
      </c>
      <c r="F20" s="4" t="inlineStr">
        <is>
          <t>UniFi UBIQUITI</t>
        </is>
      </c>
      <c r="G20" s="4">
        <f>HYPERLINK("https://itrix.uz/product/297", "🔗 Купить продукт")</f>
        <v/>
      </c>
      <c r="H20" s="4" t="inlineStr">
        <is>
          <t>7-297-299</t>
        </is>
      </c>
    </row>
    <row r="21" ht="30" customHeight="1">
      <c r="A21" s="3" t="inlineStr">
        <is>
          <t>Точки доступа WiFi</t>
        </is>
      </c>
      <c r="B21" s="3" t="inlineStr">
        <is>
          <t>Точка доступа Ubiquiti Unifi U6 Plus U6+</t>
        </is>
      </c>
      <c r="C21" s="4" t="inlineStr"/>
      <c r="D21" s="4" t="n">
        <v>1776320</v>
      </c>
      <c r="E21" s="4" t="n">
        <v>1586000</v>
      </c>
      <c r="F21" s="4" t="inlineStr">
        <is>
          <t>UniFi UBIQUITI</t>
        </is>
      </c>
      <c r="G21" s="4">
        <f>HYPERLINK("https://itrix.uz/product/303", "🔗 Купить продукт")</f>
        <v/>
      </c>
      <c r="H21" s="4" t="inlineStr">
        <is>
          <t>7-303-305</t>
        </is>
      </c>
    </row>
    <row r="22" ht="30" customHeight="1">
      <c r="A22" s="3" t="inlineStr">
        <is>
          <t>Точки доступа WiFi</t>
        </is>
      </c>
      <c r="B22" s="3" t="inlineStr">
        <is>
          <t>Точка доступа Ubiquiti UniFi AC Swiss Army Knife UK-Ultra</t>
        </is>
      </c>
      <c r="C22" s="4" t="inlineStr"/>
      <c r="D22" s="4" t="n">
        <v>1441440</v>
      </c>
      <c r="E22" s="4" t="n">
        <v>1287000</v>
      </c>
      <c r="F22" s="4" t="inlineStr">
        <is>
          <t>UniFi UBIQUITI</t>
        </is>
      </c>
      <c r="G22" s="4">
        <f>HYPERLINK("https://itrix.uz/product/298", "🔗 Купить продукт")</f>
        <v/>
      </c>
      <c r="H22" s="4" t="inlineStr">
        <is>
          <t>7-298-300</t>
        </is>
      </c>
    </row>
    <row r="23" ht="30" customHeight="1">
      <c r="A23" s="3" t="inlineStr">
        <is>
          <t>Точки доступа WiFi</t>
        </is>
      </c>
      <c r="B23" s="3" t="inlineStr">
        <is>
          <t>Точка доступа Ubiquiti UniFi U6 Pro U6-Pro</t>
        </is>
      </c>
      <c r="C23" s="4" t="inlineStr"/>
      <c r="D23" s="4" t="n">
        <v>2912000</v>
      </c>
      <c r="E23" s="4" t="n">
        <v>2600000</v>
      </c>
      <c r="F23" s="4" t="inlineStr">
        <is>
          <t>UniFi UBIQUITI</t>
        </is>
      </c>
      <c r="G23" s="4">
        <f>HYPERLINK("https://itrix.uz/product/302", "🔗 Купить продукт")</f>
        <v/>
      </c>
      <c r="H23" s="4" t="inlineStr">
        <is>
          <t>7-302-304</t>
        </is>
      </c>
    </row>
    <row r="24" ht="30" customHeight="1">
      <c r="A24" s="3" t="inlineStr">
        <is>
          <t>Точки доступа WiFi</t>
        </is>
      </c>
      <c r="B24" s="3" t="inlineStr">
        <is>
          <t>Точка доступа Ubiquiti UniFi AP AC Mesh UAP-AC-M</t>
        </is>
      </c>
      <c r="C24" s="4" t="inlineStr"/>
      <c r="D24" s="4" t="n">
        <v>2387840</v>
      </c>
      <c r="E24" s="4" t="n">
        <v>2132000</v>
      </c>
      <c r="F24" s="4" t="inlineStr">
        <is>
          <t>UniFi UBIQUITI</t>
        </is>
      </c>
      <c r="G24" s="4">
        <f>HYPERLINK("https://itrix.uz/product/299", "🔗 Купить продукт")</f>
        <v/>
      </c>
      <c r="H24" s="4" t="inlineStr">
        <is>
          <t>7-299-301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tabColor rgb="00D0911B"/>
    <outlinePr summaryBelow="1" summaryRight="1"/>
    <pageSetUpPr/>
  </sheetPr>
  <dimension ref="A1:H39"/>
  <sheetViews>
    <sheetView workbookViewId="0">
      <selection activeCell="A1" sqref="A1"/>
    </sheetView>
  </sheetViews>
  <sheetFormatPr baseColWidth="8" defaultRowHeight="15"/>
  <cols>
    <col width="30" customWidth="1" min="1" max="1"/>
    <col width="100" customWidth="1" min="2" max="2"/>
    <col width="30" customWidth="1" min="3" max="3"/>
    <col width="20" customWidth="1" min="4" max="4"/>
    <col width="20" customWidth="1" min="5" max="5"/>
    <col width="10" customWidth="1" min="6" max="6"/>
    <col width="25" customWidth="1" min="7" max="7"/>
    <col width="15" customWidth="1" min="8" max="8"/>
  </cols>
  <sheetData>
    <row r="1" ht="30" customHeight="1">
      <c r="A1" s="1" t="inlineStr">
        <is>
          <t>Категория</t>
        </is>
      </c>
      <c r="B1" s="1" t="inlineStr">
        <is>
          <t>Наименование</t>
        </is>
      </c>
      <c r="C1" s="2" t="inlineStr">
        <is>
          <t>Гарантия</t>
        </is>
      </c>
      <c r="D1" s="2" t="inlineStr">
        <is>
          <t>Цена с НДС</t>
        </is>
      </c>
      <c r="E1" s="2" t="inlineStr">
        <is>
          <t>Цена без НДС</t>
        </is>
      </c>
      <c r="F1" s="2" t="inlineStr">
        <is>
          <t>Бренд</t>
        </is>
      </c>
      <c r="G1" s="2" t="inlineStr">
        <is>
          <t>На сайте</t>
        </is>
      </c>
      <c r="H1" s="2" t="inlineStr">
        <is>
          <t>SKU</t>
        </is>
      </c>
    </row>
    <row r="2" ht="30" customHeight="1">
      <c r="A2" s="3" t="inlineStr">
        <is>
          <t>IP-Телефоны</t>
        </is>
      </c>
      <c r="B2" s="3" t="inlineStr">
        <is>
          <t>IP телефон Grandstream GRP2612 (без PoE)</t>
        </is>
      </c>
      <c r="C2" s="4" t="inlineStr"/>
      <c r="D2" s="4" t="n">
        <v>990080</v>
      </c>
      <c r="E2" s="4" t="n">
        <v>884000</v>
      </c>
      <c r="F2" s="4" t="inlineStr">
        <is>
          <t>Grandstream</t>
        </is>
      </c>
      <c r="G2" s="4">
        <f>HYPERLINK("https://itrix.uz/product/14", "🔗 Купить продукт")</f>
        <v/>
      </c>
      <c r="H2" s="4" t="inlineStr">
        <is>
          <t>6-14-13</t>
        </is>
      </c>
    </row>
    <row r="3" ht="30" customHeight="1">
      <c r="A3" s="3" t="inlineStr">
        <is>
          <t>IP-Телефоны</t>
        </is>
      </c>
      <c r="B3" s="3" t="inlineStr">
        <is>
          <t>IP телефон Yealink SIP-T43U</t>
        </is>
      </c>
      <c r="C3" s="4" t="inlineStr"/>
      <c r="D3" s="4" t="n">
        <v>1994720</v>
      </c>
      <c r="E3" s="4" t="n">
        <v>1781000</v>
      </c>
      <c r="F3" s="4" t="inlineStr">
        <is>
          <t>Yealink</t>
        </is>
      </c>
      <c r="G3" s="4">
        <f>HYPERLINK("https://itrix.uz/product/321", "🔗 Купить продукт")</f>
        <v/>
      </c>
      <c r="H3" s="4" t="inlineStr">
        <is>
          <t>6-321-323</t>
        </is>
      </c>
    </row>
    <row r="4" ht="30" customHeight="1">
      <c r="A4" s="3" t="inlineStr">
        <is>
          <t>IP-Телефоны</t>
        </is>
      </c>
      <c r="B4" s="3" t="inlineStr">
        <is>
          <t xml:space="preserve">IP телефон Grandstream GXP2170 </t>
        </is>
      </c>
      <c r="C4" s="4" t="inlineStr"/>
      <c r="D4" s="4" t="n">
        <v>1965600</v>
      </c>
      <c r="E4" s="4" t="n">
        <v>1755000</v>
      </c>
      <c r="F4" s="4" t="inlineStr">
        <is>
          <t>Grandstream</t>
        </is>
      </c>
      <c r="G4" s="4">
        <f>HYPERLINK("https://itrix.uz/product/17", "🔗 Купить продукт")</f>
        <v/>
      </c>
      <c r="H4" s="4" t="inlineStr">
        <is>
          <t>6-17-16</t>
        </is>
      </c>
    </row>
    <row r="5" ht="30" customHeight="1">
      <c r="A5" s="3" t="inlineStr">
        <is>
          <t>IP-Телефоны</t>
        </is>
      </c>
      <c r="B5" s="3" t="inlineStr">
        <is>
          <t>IP телефон Yealink SIP-T33P</t>
        </is>
      </c>
      <c r="C5" s="4" t="inlineStr"/>
      <c r="D5" s="4" t="n">
        <v>1208480</v>
      </c>
      <c r="E5" s="4" t="n">
        <v>1079000</v>
      </c>
      <c r="F5" s="4" t="inlineStr">
        <is>
          <t>Yealink</t>
        </is>
      </c>
      <c r="G5" s="4">
        <f>HYPERLINK("https://itrix.uz/product/323", "🔗 Купить продукт")</f>
        <v/>
      </c>
      <c r="H5" s="4" t="inlineStr">
        <is>
          <t>6-323-325</t>
        </is>
      </c>
    </row>
    <row r="6" ht="30" customHeight="1">
      <c r="A6" s="3" t="inlineStr">
        <is>
          <t>IP-Телефоны</t>
        </is>
      </c>
      <c r="B6" s="3" t="inlineStr">
        <is>
          <t>IP телефон Grandstream GRP2636</t>
        </is>
      </c>
      <c r="C6" s="4" t="inlineStr"/>
      <c r="D6" s="4" t="n">
        <v>2402400</v>
      </c>
      <c r="E6" s="4" t="n">
        <v>2145000</v>
      </c>
      <c r="F6" s="4" t="inlineStr">
        <is>
          <t>Grandstream</t>
        </is>
      </c>
      <c r="G6" s="4">
        <f>HYPERLINK("https://itrix.uz/product/369", "🔗 Купить продукт")</f>
        <v/>
      </c>
      <c r="H6" s="4" t="inlineStr">
        <is>
          <t>6-369-374</t>
        </is>
      </c>
    </row>
    <row r="7" ht="30" customHeight="1">
      <c r="A7" s="3" t="inlineStr">
        <is>
          <t>IP-Телефоны</t>
        </is>
      </c>
      <c r="B7" s="3" t="inlineStr">
        <is>
          <t>IP телефон Grandstream GRP2604P</t>
        </is>
      </c>
      <c r="C7" s="4" t="inlineStr"/>
      <c r="D7" s="4" t="n">
        <v>960960</v>
      </c>
      <c r="E7" s="4" t="n">
        <v>858000</v>
      </c>
      <c r="F7" s="4" t="inlineStr">
        <is>
          <t>Grandstream</t>
        </is>
      </c>
      <c r="G7" s="4">
        <f>HYPERLINK("https://itrix.uz/product/12", "🔗 Купить продукт")</f>
        <v/>
      </c>
      <c r="H7" s="4" t="inlineStr">
        <is>
          <t>6-12-12</t>
        </is>
      </c>
    </row>
    <row r="8" ht="30" customHeight="1">
      <c r="A8" s="3" t="inlineStr">
        <is>
          <t>IP-Телефоны</t>
        </is>
      </c>
      <c r="B8" s="3" t="inlineStr">
        <is>
          <t>IP телефон Yealink SIP-T48U</t>
        </is>
      </c>
      <c r="C8" s="4" t="inlineStr"/>
      <c r="D8" s="4" t="n">
        <v>4368000</v>
      </c>
      <c r="E8" s="4" t="n">
        <v>3900000</v>
      </c>
      <c r="F8" s="4" t="inlineStr">
        <is>
          <t>Yealink</t>
        </is>
      </c>
      <c r="G8" s="4">
        <f>HYPERLINK("https://itrix.uz/product/324", "🔗 Купить продукт")</f>
        <v/>
      </c>
      <c r="H8" s="4" t="inlineStr">
        <is>
          <t>6-324-326</t>
        </is>
      </c>
    </row>
    <row r="9" ht="30" customHeight="1">
      <c r="A9" s="3" t="inlineStr">
        <is>
          <t>IP-Телефоны</t>
        </is>
      </c>
      <c r="B9" s="3" t="inlineStr">
        <is>
          <t>IP видеотелефон Yealink VP59</t>
        </is>
      </c>
      <c r="C9" s="4" t="inlineStr"/>
      <c r="D9" s="4" t="n">
        <v>12041120</v>
      </c>
      <c r="E9" s="4" t="n">
        <v>10751000</v>
      </c>
      <c r="F9" s="4" t="inlineStr">
        <is>
          <t>Yealink</t>
        </is>
      </c>
      <c r="G9" s="4">
        <f>HYPERLINK("https://itrix.uz/product/329", "🔗 Купить продукт")</f>
        <v/>
      </c>
      <c r="H9" s="4" t="inlineStr">
        <is>
          <t>6-329-331</t>
        </is>
      </c>
    </row>
    <row r="10" ht="30" customHeight="1">
      <c r="A10" s="3" t="inlineStr">
        <is>
          <t>IP-Телефоны</t>
        </is>
      </c>
      <c r="B10" s="3" t="inlineStr">
        <is>
          <t xml:space="preserve">IP телефон Grandstream GXP1625 </t>
        </is>
      </c>
      <c r="C10" s="4" t="inlineStr"/>
      <c r="D10" s="4" t="n">
        <v>582400</v>
      </c>
      <c r="E10" s="4" t="n">
        <v>520000</v>
      </c>
      <c r="F10" s="4" t="inlineStr">
        <is>
          <t>Grandstream</t>
        </is>
      </c>
      <c r="G10" s="4">
        <f>HYPERLINK("https://itrix.uz/product/18", "🔗 Купить продукт")</f>
        <v/>
      </c>
      <c r="H10" s="4" t="inlineStr">
        <is>
          <t>6-18-17</t>
        </is>
      </c>
    </row>
    <row r="11" ht="30" customHeight="1">
      <c r="A11" s="3" t="inlineStr">
        <is>
          <t>IP-Телефоны</t>
        </is>
      </c>
      <c r="B11" s="3" t="inlineStr">
        <is>
          <t xml:space="preserve">IP телефон Grandstream GRP2615 </t>
        </is>
      </c>
      <c r="C11" s="4" t="inlineStr"/>
      <c r="D11" s="4" t="n">
        <v>1907360</v>
      </c>
      <c r="E11" s="4" t="n">
        <v>1703000</v>
      </c>
      <c r="F11" s="4" t="inlineStr">
        <is>
          <t>Grandstream</t>
        </is>
      </c>
      <c r="G11" s="4">
        <f>HYPERLINK("https://itrix.uz/product/15", "🔗 Купить продукт")</f>
        <v/>
      </c>
      <c r="H11" s="4" t="inlineStr">
        <is>
          <t>6-15-14</t>
        </is>
      </c>
    </row>
    <row r="12" ht="30" customHeight="1">
      <c r="A12" s="3" t="inlineStr">
        <is>
          <t>IP-АТС</t>
        </is>
      </c>
      <c r="B12" s="3" t="inlineStr">
        <is>
          <t xml:space="preserve">ІР АТС Grandstream UCM6301 </t>
        </is>
      </c>
      <c r="C12" s="4" t="inlineStr"/>
      <c r="D12" s="4" t="n">
        <v>4266080</v>
      </c>
      <c r="E12" s="4" t="n">
        <v>3809000</v>
      </c>
      <c r="F12" s="4" t="inlineStr">
        <is>
          <t>Grandstream</t>
        </is>
      </c>
      <c r="G12" s="4">
        <f>HYPERLINK("https://itrix.uz/product/25", "🔗 Купить продукт")</f>
        <v/>
      </c>
      <c r="H12" s="4" t="inlineStr">
        <is>
          <t>6-25-24</t>
        </is>
      </c>
    </row>
    <row r="13" ht="30" customHeight="1">
      <c r="A13" s="3" t="inlineStr">
        <is>
          <t>IP-Телефоны</t>
        </is>
      </c>
      <c r="B13" s="3" t="inlineStr">
        <is>
          <t>Модуль расширения Yealink EXP40</t>
        </is>
      </c>
      <c r="C13" s="4" t="inlineStr"/>
      <c r="D13" s="4" t="n">
        <v>2140320</v>
      </c>
      <c r="E13" s="4" t="n">
        <v>1911000</v>
      </c>
      <c r="F13" s="4" t="inlineStr">
        <is>
          <t>Yealink</t>
        </is>
      </c>
      <c r="G13" s="4">
        <f>HYPERLINK("https://itrix.uz/product/330", "🔗 Купить продукт")</f>
        <v/>
      </c>
      <c r="H13" s="4" t="inlineStr">
        <is>
          <t>6-330-332</t>
        </is>
      </c>
    </row>
    <row r="14" ht="30" customHeight="1">
      <c r="A14" s="3" t="inlineStr">
        <is>
          <t>IP-Телефоны</t>
        </is>
      </c>
      <c r="B14" s="3" t="inlineStr">
        <is>
          <t>IP телефон Yealink SIP-T46U</t>
        </is>
      </c>
      <c r="C14" s="4" t="inlineStr"/>
      <c r="D14" s="4" t="n">
        <v>3319680</v>
      </c>
      <c r="E14" s="4" t="n">
        <v>2964000</v>
      </c>
      <c r="F14" s="4" t="inlineStr">
        <is>
          <t>Yealink</t>
        </is>
      </c>
      <c r="G14" s="4">
        <f>HYPERLINK("https://itrix.uz/product/322", "🔗 Купить продукт")</f>
        <v/>
      </c>
      <c r="H14" s="4" t="inlineStr">
        <is>
          <t>6-322-324</t>
        </is>
      </c>
    </row>
    <row r="15" ht="30" customHeight="1">
      <c r="A15" s="3" t="inlineStr">
        <is>
          <t>IP-Телефоны</t>
        </is>
      </c>
      <c r="B15" s="3" t="inlineStr">
        <is>
          <t>Модуль расширения Yealink EXP43</t>
        </is>
      </c>
      <c r="C15" s="4" t="inlineStr"/>
      <c r="D15" s="4" t="n">
        <v>1805440</v>
      </c>
      <c r="E15" s="4" t="n">
        <v>1612000</v>
      </c>
      <c r="F15" s="4" t="inlineStr">
        <is>
          <t>Yealink</t>
        </is>
      </c>
      <c r="G15" s="4">
        <f>HYPERLINK("https://itrix.uz/product/331", "🔗 Купить продукт")</f>
        <v/>
      </c>
      <c r="H15" s="4" t="inlineStr">
        <is>
          <t>6-331-333</t>
        </is>
      </c>
    </row>
    <row r="16" ht="30" customHeight="1">
      <c r="A16" s="3" t="inlineStr">
        <is>
          <t>IP-Телефоны</t>
        </is>
      </c>
      <c r="B16" s="3" t="inlineStr">
        <is>
          <t xml:space="preserve">WiFi телефон Grandstream WP820 </t>
        </is>
      </c>
      <c r="C16" s="4" t="inlineStr"/>
      <c r="D16" s="4" t="n">
        <v>2562560</v>
      </c>
      <c r="E16" s="4" t="n">
        <v>2288000</v>
      </c>
      <c r="F16" s="4" t="inlineStr">
        <is>
          <t>Grandstream</t>
        </is>
      </c>
      <c r="G16" s="4">
        <f>HYPERLINK("https://itrix.uz/product/24", "🔗 Купить продукт")</f>
        <v/>
      </c>
      <c r="H16" s="4" t="inlineStr">
        <is>
          <t>6-24-23</t>
        </is>
      </c>
    </row>
    <row r="17" ht="30" customHeight="1">
      <c r="A17" s="3" t="inlineStr">
        <is>
          <t>IP-АТС</t>
        </is>
      </c>
      <c r="B17" s="3" t="inlineStr">
        <is>
          <t>IP-АТС Grandstream UCM6204</t>
        </is>
      </c>
      <c r="C17" s="4" t="inlineStr"/>
      <c r="D17" s="4" t="n">
        <v>6275360</v>
      </c>
      <c r="E17" s="4" t="n">
        <v>5603000</v>
      </c>
      <c r="F17" s="4" t="inlineStr">
        <is>
          <t>Grandstream</t>
        </is>
      </c>
      <c r="G17" s="4">
        <f>HYPERLINK("https://itrix.uz/product/27", "🔗 Купить продукт")</f>
        <v/>
      </c>
      <c r="H17" s="4" t="inlineStr">
        <is>
          <t>6-27-26</t>
        </is>
      </c>
    </row>
    <row r="18" ht="30" customHeight="1">
      <c r="A18" s="3" t="inlineStr">
        <is>
          <t>IP-АТС</t>
        </is>
      </c>
      <c r="B18" s="3" t="inlineStr">
        <is>
          <t xml:space="preserve">IP-АТС Grandstream UCM6208 </t>
        </is>
      </c>
      <c r="C18" s="4" t="inlineStr"/>
      <c r="D18" s="4" t="n">
        <v>9624160</v>
      </c>
      <c r="E18" s="4" t="n">
        <v>8593000</v>
      </c>
      <c r="F18" s="4" t="inlineStr">
        <is>
          <t>Grandstream</t>
        </is>
      </c>
      <c r="G18" s="4">
        <f>HYPERLINK("https://itrix.uz/product/28", "🔗 Купить продукт")</f>
        <v/>
      </c>
      <c r="H18" s="4" t="inlineStr">
        <is>
          <t>6-28-27</t>
        </is>
      </c>
    </row>
    <row r="19" ht="30" customHeight="1">
      <c r="A19" s="3" t="inlineStr">
        <is>
          <t>IP-Телефоны</t>
        </is>
      </c>
      <c r="B19" s="3" t="inlineStr">
        <is>
          <t xml:space="preserve">DECT-трубка Grandstream DP722 </t>
        </is>
      </c>
      <c r="C19" s="4" t="inlineStr"/>
      <c r="D19" s="4" t="n">
        <v>917280</v>
      </c>
      <c r="E19" s="4" t="n">
        <v>819000</v>
      </c>
      <c r="F19" s="4" t="inlineStr">
        <is>
          <t>Grandstream</t>
        </is>
      </c>
      <c r="G19" s="4">
        <f>HYPERLINK("https://itrix.uz/product/19", "🔗 Купить продукт")</f>
        <v/>
      </c>
      <c r="H19" s="4" t="inlineStr">
        <is>
          <t>6-19-18</t>
        </is>
      </c>
    </row>
    <row r="20" ht="30" customHeight="1">
      <c r="A20" s="3" t="inlineStr">
        <is>
          <t>IP-АТС</t>
        </is>
      </c>
      <c r="B20" s="3" t="inlineStr">
        <is>
          <t xml:space="preserve">Голосовой шлюз Grandstream GXW4224 </t>
        </is>
      </c>
      <c r="C20" s="4" t="inlineStr"/>
      <c r="D20" s="4" t="n">
        <v>8415680</v>
      </c>
      <c r="E20" s="4" t="n">
        <v>7514000</v>
      </c>
      <c r="F20" s="4" t="inlineStr">
        <is>
          <t>Grandstream</t>
        </is>
      </c>
      <c r="G20" s="4">
        <f>HYPERLINK("https://itrix.uz/product/30", "🔗 Купить продукт")</f>
        <v/>
      </c>
      <c r="H20" s="4" t="inlineStr">
        <is>
          <t>6-30-29</t>
        </is>
      </c>
    </row>
    <row r="21" ht="30" customHeight="1">
      <c r="A21" s="3" t="inlineStr">
        <is>
          <t>IP-Телефоны</t>
        </is>
      </c>
      <c r="B21" s="3" t="inlineStr">
        <is>
          <t xml:space="preserve">IP видеотелефон Grandstream GXV3350 </t>
        </is>
      </c>
      <c r="C21" s="4" t="inlineStr"/>
      <c r="D21" s="4" t="n">
        <v>4426240</v>
      </c>
      <c r="E21" s="4" t="n">
        <v>3952000</v>
      </c>
      <c r="F21" s="4" t="inlineStr">
        <is>
          <t>Grandstream</t>
        </is>
      </c>
      <c r="G21" s="4">
        <f>HYPERLINK("https://itrix.uz/product/22", "🔗 Купить продукт")</f>
        <v/>
      </c>
      <c r="H21" s="4" t="inlineStr">
        <is>
          <t>6-22-21</t>
        </is>
      </c>
    </row>
    <row r="22" ht="30" customHeight="1">
      <c r="A22" s="3" t="inlineStr">
        <is>
          <t>IP-Телефоны</t>
        </is>
      </c>
      <c r="B22" s="3" t="inlineStr">
        <is>
          <t xml:space="preserve">WiFi телефон Grandstream WP810 </t>
        </is>
      </c>
      <c r="C22" s="4" t="inlineStr"/>
      <c r="D22" s="4" t="n">
        <v>1878240</v>
      </c>
      <c r="E22" s="4" t="n">
        <v>1677000</v>
      </c>
      <c r="F22" s="4" t="inlineStr">
        <is>
          <t>Grandstream</t>
        </is>
      </c>
      <c r="G22" s="4">
        <f>HYPERLINK("https://itrix.uz/product/23", "🔗 Купить продукт")</f>
        <v/>
      </c>
      <c r="H22" s="4" t="inlineStr">
        <is>
          <t>6-23-22</t>
        </is>
      </c>
    </row>
    <row r="23" ht="30" customHeight="1">
      <c r="A23" s="3" t="inlineStr">
        <is>
          <t>IP-АТС</t>
        </is>
      </c>
      <c r="B23" s="3" t="inlineStr">
        <is>
          <t>IP-АТС Grandstream UCM6308</t>
        </is>
      </c>
      <c r="C23" s="4" t="inlineStr"/>
      <c r="D23" s="4" t="n">
        <v>21082880</v>
      </c>
      <c r="E23" s="4" t="n">
        <v>18824000</v>
      </c>
      <c r="F23" s="4" t="inlineStr">
        <is>
          <t>Grandstream</t>
        </is>
      </c>
      <c r="G23" s="4">
        <f>HYPERLINK("https://itrix.uz/product/26", "🔗 Купить продукт")</f>
        <v/>
      </c>
      <c r="H23" s="4" t="inlineStr">
        <is>
          <t>6-26-25</t>
        </is>
      </c>
    </row>
    <row r="24" ht="30" customHeight="1">
      <c r="A24" s="3" t="inlineStr">
        <is>
          <t>IP-Телефоны</t>
        </is>
      </c>
      <c r="B24" s="3" t="inlineStr">
        <is>
          <t xml:space="preserve">IP телефон Grandstream GXP2160 </t>
        </is>
      </c>
      <c r="C24" s="4" t="inlineStr"/>
      <c r="D24" s="4" t="n">
        <v>2052960</v>
      </c>
      <c r="E24" s="4" t="n">
        <v>1833000</v>
      </c>
      <c r="F24" s="4" t="inlineStr">
        <is>
          <t>Grandstream</t>
        </is>
      </c>
      <c r="G24" s="4">
        <f>HYPERLINK("https://itrix.uz/product/16", "🔗 Купить продукт")</f>
        <v/>
      </c>
      <c r="H24" s="4" t="inlineStr">
        <is>
          <t>6-16-15</t>
        </is>
      </c>
    </row>
    <row r="25" ht="30" customHeight="1">
      <c r="A25" s="3" t="inlineStr">
        <is>
          <t>IP-АТС</t>
        </is>
      </c>
      <c r="B25" s="3" t="inlineStr">
        <is>
          <t xml:space="preserve">IP-АТС Grandstream UCM6510 </t>
        </is>
      </c>
      <c r="C25" s="4" t="inlineStr"/>
      <c r="D25" s="4" t="n">
        <v>15113280</v>
      </c>
      <c r="E25" s="4" t="n">
        <v>13494000</v>
      </c>
      <c r="F25" s="4" t="inlineStr">
        <is>
          <t>Grandstream</t>
        </is>
      </c>
      <c r="G25" s="4">
        <f>HYPERLINK("https://itrix.uz/product/29", "🔗 Купить продукт")</f>
        <v/>
      </c>
      <c r="H25" s="4" t="inlineStr">
        <is>
          <t>6-29-28</t>
        </is>
      </c>
    </row>
    <row r="26" ht="30" customHeight="1">
      <c r="A26" s="3" t="inlineStr">
        <is>
          <t>IP-Телефоны</t>
        </is>
      </c>
      <c r="B26" s="3" t="inlineStr">
        <is>
          <t>IP телефон Yealink SIP-T30P</t>
        </is>
      </c>
      <c r="C26" s="4" t="inlineStr"/>
      <c r="D26" s="4" t="n">
        <v>771680</v>
      </c>
      <c r="E26" s="4" t="n">
        <v>689000</v>
      </c>
      <c r="F26" s="4" t="inlineStr">
        <is>
          <t>Yealink</t>
        </is>
      </c>
      <c r="G26" s="4">
        <f>HYPERLINK("https://itrix.uz/product/317", "🔗 Купить продукт")</f>
        <v/>
      </c>
      <c r="H26" s="4" t="inlineStr">
        <is>
          <t>6-317-319</t>
        </is>
      </c>
    </row>
    <row r="27" ht="30" customHeight="1">
      <c r="A27" s="3" t="inlineStr">
        <is>
          <t>IP-АТС</t>
        </is>
      </c>
      <c r="B27" s="3" t="inlineStr">
        <is>
          <t xml:space="preserve">Голосовой шлюз Grandstream GXW4232 </t>
        </is>
      </c>
      <c r="C27" s="4" t="inlineStr"/>
      <c r="D27" s="4" t="n">
        <v>10031840</v>
      </c>
      <c r="E27" s="4" t="n">
        <v>8957000</v>
      </c>
      <c r="F27" s="4" t="inlineStr">
        <is>
          <t>Grandstream</t>
        </is>
      </c>
      <c r="G27" s="4">
        <f>HYPERLINK("https://itrix.uz/product/31", "🔗 Купить продукт")</f>
        <v/>
      </c>
      <c r="H27" s="4" t="inlineStr">
        <is>
          <t>6-31-30</t>
        </is>
      </c>
    </row>
    <row r="28" ht="30" customHeight="1">
      <c r="A28" s="3" t="inlineStr">
        <is>
          <t>IP-Телефоны</t>
        </is>
      </c>
      <c r="B28" s="3" t="inlineStr">
        <is>
          <t xml:space="preserve">DECT-трубка Grandstream DP730 </t>
        </is>
      </c>
      <c r="C28" s="4" t="inlineStr"/>
      <c r="D28" s="4" t="n">
        <v>1339520</v>
      </c>
      <c r="E28" s="4" t="n">
        <v>1196000</v>
      </c>
      <c r="F28" s="4" t="inlineStr">
        <is>
          <t>Grandstream</t>
        </is>
      </c>
      <c r="G28" s="4">
        <f>HYPERLINK("https://itrix.uz/product/20", "🔗 Купить продукт")</f>
        <v/>
      </c>
      <c r="H28" s="4" t="inlineStr">
        <is>
          <t>6-20-19</t>
        </is>
      </c>
    </row>
    <row r="29" ht="30" customHeight="1">
      <c r="A29" s="3" t="inlineStr">
        <is>
          <t>IP-Телефоны</t>
        </is>
      </c>
      <c r="B29" s="3" t="inlineStr">
        <is>
          <t>IP телефон Yealink SIP-T31W</t>
        </is>
      </c>
      <c r="C29" s="4" t="inlineStr"/>
      <c r="D29" s="4" t="n">
        <v>1179360</v>
      </c>
      <c r="E29" s="4" t="n">
        <v>1053000</v>
      </c>
      <c r="F29" s="4" t="inlineStr">
        <is>
          <t>Yealink</t>
        </is>
      </c>
      <c r="G29" s="4">
        <f>HYPERLINK("https://itrix.uz/product/318", "🔗 Купить продукт")</f>
        <v/>
      </c>
      <c r="H29" s="4" t="inlineStr">
        <is>
          <t>6-318-320</t>
        </is>
      </c>
    </row>
    <row r="30" ht="30" customHeight="1">
      <c r="A30" s="3" t="inlineStr">
        <is>
          <t>IP-Телефоны</t>
        </is>
      </c>
      <c r="B30" s="3" t="inlineStr">
        <is>
          <t>IP телефон Yealink SIP-T58W</t>
        </is>
      </c>
      <c r="C30" s="4" t="inlineStr"/>
      <c r="D30" s="4" t="n">
        <v>7148960</v>
      </c>
      <c r="E30" s="4" t="n">
        <v>6383000</v>
      </c>
      <c r="F30" s="4" t="inlineStr">
        <is>
          <t>Yealink</t>
        </is>
      </c>
      <c r="G30" s="4">
        <f>HYPERLINK("https://itrix.uz/product/327", "🔗 Купить продукт")</f>
        <v/>
      </c>
      <c r="H30" s="4" t="inlineStr">
        <is>
          <t>6-327-329</t>
        </is>
      </c>
    </row>
    <row r="31" ht="30" customHeight="1">
      <c r="A31" s="3" t="inlineStr">
        <is>
          <t>IP-Телефоны</t>
        </is>
      </c>
      <c r="B31" s="3" t="inlineStr">
        <is>
          <t>IP телефон Yealink SIP-T58W Pro</t>
        </is>
      </c>
      <c r="C31" s="4" t="inlineStr"/>
      <c r="D31" s="4" t="n">
        <v>8080800</v>
      </c>
      <c r="E31" s="4" t="n">
        <v>7215000</v>
      </c>
      <c r="F31" s="4" t="inlineStr">
        <is>
          <t>Yealink</t>
        </is>
      </c>
      <c r="G31" s="4">
        <f>HYPERLINK("https://itrix.uz/product/328", "🔗 Купить продукт")</f>
        <v/>
      </c>
      <c r="H31" s="4" t="inlineStr">
        <is>
          <t>6-328-330</t>
        </is>
      </c>
    </row>
    <row r="32" ht="30" customHeight="1">
      <c r="A32" s="3" t="inlineStr">
        <is>
          <t>IP-Телефоны</t>
        </is>
      </c>
      <c r="B32" s="3" t="inlineStr">
        <is>
          <t>IP телефон Yealink SIP-T34W</t>
        </is>
      </c>
      <c r="C32" s="4" t="inlineStr"/>
      <c r="D32" s="4" t="n">
        <v>1339520</v>
      </c>
      <c r="E32" s="4" t="n">
        <v>1196000</v>
      </c>
      <c r="F32" s="4" t="inlineStr">
        <is>
          <t>Yealink</t>
        </is>
      </c>
      <c r="G32" s="4">
        <f>HYPERLINK("https://itrix.uz/product/319", "🔗 Купить продукт")</f>
        <v/>
      </c>
      <c r="H32" s="4" t="inlineStr">
        <is>
          <t>6-319-321</t>
        </is>
      </c>
    </row>
    <row r="33" ht="30" customHeight="1">
      <c r="A33" s="3" t="inlineStr">
        <is>
          <t>IP-Телефоны</t>
        </is>
      </c>
      <c r="B33" s="3" t="inlineStr">
        <is>
          <t>IP телефон Yealink SIP-T44W</t>
        </is>
      </c>
      <c r="C33" s="4" t="inlineStr"/>
      <c r="D33" s="4" t="n">
        <v>2256800</v>
      </c>
      <c r="E33" s="4" t="n">
        <v>2015000</v>
      </c>
      <c r="F33" s="4" t="inlineStr">
        <is>
          <t>Yealink</t>
        </is>
      </c>
      <c r="G33" s="4">
        <f>HYPERLINK("https://itrix.uz/product/320", "🔗 Купить продукт")</f>
        <v/>
      </c>
      <c r="H33" s="4" t="inlineStr">
        <is>
          <t>6-320-322</t>
        </is>
      </c>
    </row>
    <row r="34" ht="30" customHeight="1">
      <c r="A34" s="3" t="inlineStr">
        <is>
          <t>IP-Телефоны</t>
        </is>
      </c>
      <c r="B34" s="3" t="inlineStr">
        <is>
          <t>IP телефон Yealink SIP-T53W</t>
        </is>
      </c>
      <c r="C34" s="4" t="inlineStr"/>
      <c r="D34" s="4" t="n">
        <v>3363360</v>
      </c>
      <c r="E34" s="4" t="n">
        <v>3003000</v>
      </c>
      <c r="F34" s="4" t="inlineStr">
        <is>
          <t>Yealink</t>
        </is>
      </c>
      <c r="G34" s="4">
        <f>HYPERLINK("https://itrix.uz/product/325", "🔗 Купить продукт")</f>
        <v/>
      </c>
      <c r="H34" s="4" t="inlineStr">
        <is>
          <t>6-325-327</t>
        </is>
      </c>
    </row>
    <row r="35" ht="30" customHeight="1">
      <c r="A35" s="3" t="inlineStr">
        <is>
          <t>IP-Телефоны</t>
        </is>
      </c>
      <c r="B35" s="3" t="inlineStr">
        <is>
          <t>IP телефон Yealink SIP-T54W</t>
        </is>
      </c>
      <c r="C35" s="4" t="inlineStr"/>
      <c r="D35" s="4" t="n">
        <v>4236960</v>
      </c>
      <c r="E35" s="4" t="n">
        <v>3783000</v>
      </c>
      <c r="F35" s="4" t="inlineStr">
        <is>
          <t>Yealink</t>
        </is>
      </c>
      <c r="G35" s="4">
        <f>HYPERLINK("https://itrix.uz/product/326", "🔗 Купить продукт")</f>
        <v/>
      </c>
      <c r="H35" s="4" t="inlineStr">
        <is>
          <t>6-326-328</t>
        </is>
      </c>
    </row>
    <row r="36" ht="30" customHeight="1">
      <c r="A36" s="3" t="inlineStr">
        <is>
          <t>IP-Телефоны</t>
        </is>
      </c>
      <c r="B36" s="3" t="inlineStr">
        <is>
          <t>Модуль расширения Yealink EXP50</t>
        </is>
      </c>
      <c r="C36" s="4" t="inlineStr"/>
      <c r="D36" s="4" t="n">
        <v>2329600</v>
      </c>
      <c r="E36" s="4" t="n">
        <v>2080000</v>
      </c>
      <c r="F36" s="4" t="inlineStr">
        <is>
          <t>Yealink</t>
        </is>
      </c>
      <c r="G36" s="4">
        <f>HYPERLINK("https://itrix.uz/product/332", "🔗 Купить продукт")</f>
        <v/>
      </c>
      <c r="H36" s="4" t="inlineStr">
        <is>
          <t>6-332-334</t>
        </is>
      </c>
    </row>
    <row r="37" ht="30" customHeight="1">
      <c r="A37" s="3" t="inlineStr">
        <is>
          <t>IP-Телефоны</t>
        </is>
      </c>
      <c r="B37" s="3" t="inlineStr">
        <is>
          <t>Базовая станция Grandstream DP752</t>
        </is>
      </c>
      <c r="C37" s="4" t="inlineStr"/>
      <c r="D37" s="4" t="n">
        <v>859040</v>
      </c>
      <c r="E37" s="4" t="n">
        <v>767000</v>
      </c>
      <c r="F37" s="4" t="inlineStr">
        <is>
          <t>Grandstream</t>
        </is>
      </c>
      <c r="G37" s="4">
        <f>HYPERLINK("https://itrix.uz/product/21", "🔗 Купить продукт")</f>
        <v/>
      </c>
      <c r="H37" s="4" t="inlineStr">
        <is>
          <t>6-21-20</t>
        </is>
      </c>
    </row>
    <row r="38" ht="30" customHeight="1">
      <c r="A38" s="3" t="inlineStr">
        <is>
          <t>IP-Телефоны</t>
        </is>
      </c>
      <c r="B38" s="3" t="inlineStr">
        <is>
          <t xml:space="preserve">IP телефон Grandstream GRP2602P </t>
        </is>
      </c>
      <c r="C38" s="4" t="inlineStr"/>
      <c r="D38" s="4" t="n">
        <v>713440</v>
      </c>
      <c r="E38" s="4" t="n">
        <v>637000</v>
      </c>
      <c r="F38" s="4" t="inlineStr">
        <is>
          <t>Grandstream</t>
        </is>
      </c>
      <c r="G38" s="4">
        <f>HYPERLINK("https://itrix.uz/product/11", "🔗 Купить продукт")</f>
        <v/>
      </c>
      <c r="H38" s="4" t="inlineStr">
        <is>
          <t>6-11-11</t>
        </is>
      </c>
    </row>
    <row r="39" ht="30" customHeight="1">
      <c r="A39" s="3" t="inlineStr">
        <is>
          <t>IP-Телефоны</t>
        </is>
      </c>
      <c r="B39" s="3" t="inlineStr">
        <is>
          <t>IP телефон Grandstream GRP2601P</t>
        </is>
      </c>
      <c r="C39" s="4" t="inlineStr">
        <is>
          <t>Гарантия 1 мес.</t>
        </is>
      </c>
      <c r="D39" s="4" t="n">
        <v>524160</v>
      </c>
      <c r="E39" s="4" t="n">
        <v>468000</v>
      </c>
      <c r="F39" s="4" t="inlineStr">
        <is>
          <t>Grandstream</t>
        </is>
      </c>
      <c r="G39" s="4">
        <f>HYPERLINK("https://itrix.uz/product/10", "🔗 Купить продукт")</f>
        <v/>
      </c>
      <c r="H39" s="4" t="inlineStr">
        <is>
          <t>6-10-265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2025-05-28T22:03:43Z</dcterms:created>
  <dcterms:modified xsi:type="dcterms:W3CDTF">2025-05-28T22:03:43Z</dcterms:modified>
</cp:coreProperties>
</file>